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chubarov/Downloads/Альбом типовых форм_sent_31.05.2021/Альбом типовых форм_мастер_правк/"/>
    </mc:Choice>
  </mc:AlternateContent>
  <xr:revisionPtr revIDLastSave="0" documentId="13_ncr:1_{CF9F5F70-4F6F-D74A-BDDE-B42181F13289}" xr6:coauthVersionLast="47" xr6:coauthVersionMax="47" xr10:uidLastSave="{00000000-0000-0000-0000-000000000000}"/>
  <bookViews>
    <workbookView xWindow="1480" yWindow="500" windowWidth="24120" windowHeight="15500" tabRatio="816" xr2:uid="{00000000-000D-0000-FFFF-FFFF00000000}"/>
  </bookViews>
  <sheets>
    <sheet name="Ввод данных" sheetId="1" r:id="rId1"/>
    <sheet name="Расчет показателей" sheetId="2" r:id="rId2"/>
    <sheet name="Пороговые значения" sheetId="3" r:id="rId3"/>
  </sheets>
  <definedNames>
    <definedName name="Балл00">'Пороговые значения'!$C$2</definedName>
    <definedName name="Балл01">'Пороговые значения'!$E$2</definedName>
    <definedName name="Балл02">'Пороговые значения'!$H$2</definedName>
    <definedName name="Балл03">'Пороговые значения'!$K$2</definedName>
    <definedName name="Балл04">'Пороговые значения'!$N$2</definedName>
    <definedName name="Балл05">'Пороговые значения'!$Q$2</definedName>
    <definedName name="Балл06">'Пороговые значения'!$T$2</definedName>
    <definedName name="Балл07">'Пороговые значения'!$W$2</definedName>
    <definedName name="Балл08">'Пороговые значения'!$Z$2</definedName>
    <definedName name="Балл09">'Пороговые значения'!$AC$2</definedName>
    <definedName name="Балл10">'Пороговые значения'!$AF$2</definedName>
    <definedName name="БаллИтог">'Расчет показателей'!$C$2</definedName>
    <definedName name="ИзмББ">'Ввод данных'!$F$36</definedName>
    <definedName name="Округл0">'Расчет показателей'!$N$2</definedName>
    <definedName name="Округл1">'Расчет показателей'!$N$3</definedName>
    <definedName name="Округл2">'Расчет показателей'!$N$4</definedName>
    <definedName name="Регресс">'Ввод данных'!$F$6</definedName>
    <definedName name="Стр1100">'Ввод данных'!$D$12</definedName>
    <definedName name="Стр1100пр">'Ввод данных'!$E$12</definedName>
    <definedName name="Стр1150">'Ввод данных'!$D$10</definedName>
    <definedName name="Стр1150пр">'Ввод данных'!$E$10</definedName>
    <definedName name="Стр1230">'Ввод данных'!$D$14</definedName>
    <definedName name="Стр1230пр">'Ввод данных'!$E$14</definedName>
    <definedName name="Стр1240">'Ввод данных'!#REF!</definedName>
    <definedName name="Стр1240пр">'Ввод данных'!#REF!</definedName>
    <definedName name="Стр1250">'Ввод данных'!$D$15</definedName>
    <definedName name="Стр1250пр">'Ввод данных'!$E$15</definedName>
    <definedName name="Стр1300">'Ввод данных'!$D$18</definedName>
    <definedName name="Стр1300пр">'Ввод данных'!$E$18</definedName>
    <definedName name="Стр1400">'Ввод данных'!$D$22</definedName>
    <definedName name="Стр1400пр">'Ввод данных'!$E$22</definedName>
    <definedName name="Стр1410">'Ввод данных'!$D$20</definedName>
    <definedName name="Стр1410пр">'Ввод данных'!$E$20</definedName>
    <definedName name="Стр1500">'Ввод данных'!$D$27</definedName>
    <definedName name="Стр1500пр">'Ввод данных'!$E$27</definedName>
    <definedName name="Стр1510">'Ввод данных'!$D$24</definedName>
    <definedName name="Стр1510пр">'Ввод данных'!$E$24</definedName>
    <definedName name="Стр1520">'Ввод данных'!$D$25</definedName>
    <definedName name="Стр1520пр">'Ввод данных'!$E$25</definedName>
    <definedName name="Стр1600">'Ввод данных'!$D$16</definedName>
    <definedName name="Стр1600пр">'Ввод данных'!$E$16</definedName>
    <definedName name="Стр1700">'Ввод данных'!$D$28</definedName>
    <definedName name="Стр1700пр">'Ввод данных'!$E$28</definedName>
    <definedName name="Стр2110">'Ввод данных'!$D$30</definedName>
    <definedName name="Стр2110пр">'Ввод данных'!$E$30</definedName>
    <definedName name="Стр2300">'Ввод данных'!$D$32</definedName>
    <definedName name="Стр2300пр">'Ввод данных'!$E$32</definedName>
    <definedName name="Стр2330">'Ввод данных'!$D$31</definedName>
    <definedName name="Стр2330пр">'Ввод данных'!$E$31</definedName>
    <definedName name="Тип1Вес1">'Ввод данных'!$C$4</definedName>
    <definedName name="Тип1Вес2">'Ввод данных'!$D$4</definedName>
    <definedName name="Тип1Вес3">'Ввод данных'!$E$4</definedName>
    <definedName name="Тип2Вес1">'Ввод данных'!$C$5</definedName>
    <definedName name="Тип2Вес2">'Ввод данных'!$D$5</definedName>
    <definedName name="Тип2Вес3">'Ввод данных'!$E$5</definedName>
    <definedName name="Тип3Вес1">'Ввод данных'!#REF!</definedName>
    <definedName name="Тип3Вес2">'Ввод данных'!#REF!</definedName>
    <definedName name="Тип3Вес3">'Ввод данных'!#REF!</definedName>
    <definedName name="ТипУчастника">'Ввод данных'!$F$4</definedName>
    <definedName name="ФП01">'Расчет показателей'!$J$9</definedName>
    <definedName name="ФП01БаллИтог">'Расчет показателей'!$R$9</definedName>
    <definedName name="ФП01Коэф">'Расчет показателей'!$K$9</definedName>
    <definedName name="ФП01П01">'Пороговые значения'!$D$3</definedName>
    <definedName name="ФП01П02">'Пороговые значения'!$E$3</definedName>
    <definedName name="ФП01П03">'Пороговые значения'!$G$3</definedName>
    <definedName name="ФП01П04">'Пороговые значения'!$H$3</definedName>
    <definedName name="ФП01П05">'Пороговые значения'!$J$3</definedName>
    <definedName name="ФП01П06">'Пороговые значения'!$K$3</definedName>
    <definedName name="ФП01П07">'Пороговые значения'!$M$3</definedName>
    <definedName name="ФП01П08">'Пороговые значения'!$N$3</definedName>
    <definedName name="ФП01П09">'Пороговые значения'!$P$3</definedName>
    <definedName name="ФП01П10">'Пороговые значения'!$Q$3</definedName>
    <definedName name="ФП01П11">'Пороговые значения'!$S$3</definedName>
    <definedName name="ФП01П12">'Пороговые значения'!$T$3</definedName>
    <definedName name="ФП01П13">'Пороговые значения'!$V$3</definedName>
    <definedName name="ФП01П14">'Пороговые значения'!$W$3</definedName>
    <definedName name="ФП01П15">'Пороговые значения'!$Y$3</definedName>
    <definedName name="ФП01П16">'Пороговые значения'!$Z$3</definedName>
    <definedName name="ФП01П17">'Пороговые значения'!$AB$3</definedName>
    <definedName name="ФП01П18">'Пороговые значения'!$AC$3</definedName>
    <definedName name="ФП01П19">'Пороговые значения'!$AE$3</definedName>
    <definedName name="ФП01П20">'Пороговые значения'!$AG$3</definedName>
    <definedName name="ФП01пр">'Расчет показателей'!$M$9</definedName>
    <definedName name="ФП01прКоэф">'Расчет показателей'!$N$9</definedName>
    <definedName name="ФП01Уср">'Расчет показателей'!$P$9</definedName>
    <definedName name="ФП02">'Расчет показателей'!$J$10</definedName>
    <definedName name="ФП02БаллИтог">'Расчет показателей'!$R$10</definedName>
    <definedName name="ФП02Коэф">'Расчет показателей'!$K$10</definedName>
    <definedName name="ФП02П01">'Пороговые значения'!$D$4</definedName>
    <definedName name="ФП02П02">'Пороговые значения'!$E$4</definedName>
    <definedName name="ФП02П03">'Пороговые значения'!$G$4</definedName>
    <definedName name="ФП02П04">'Пороговые значения'!$H$4</definedName>
    <definedName name="ФП02П05">'Пороговые значения'!$J$4</definedName>
    <definedName name="ФП02П06">'Пороговые значения'!$K$4</definedName>
    <definedName name="ФП02П07">'Пороговые значения'!$M$4</definedName>
    <definedName name="ФП02П08">'Пороговые значения'!$N$4</definedName>
    <definedName name="ФП02П09">'Пороговые значения'!$P$4</definedName>
    <definedName name="ФП02П10">'Пороговые значения'!$Q$4</definedName>
    <definedName name="ФП02П11">'Пороговые значения'!$S$4</definedName>
    <definedName name="ФП02П12">'Пороговые значения'!$T$4</definedName>
    <definedName name="ФП02П13">'Пороговые значения'!$V$4</definedName>
    <definedName name="ФП02П14">'Пороговые значения'!$W$4</definedName>
    <definedName name="ФП02П15">'Пороговые значения'!$Y$4</definedName>
    <definedName name="ФП02П16">'Пороговые значения'!$Z$4</definedName>
    <definedName name="ФП02П17">'Пороговые значения'!$AB$4</definedName>
    <definedName name="ФП02П18">'Пороговые значения'!$AC$4</definedName>
    <definedName name="ФП02П19">'Пороговые значения'!$AE$4</definedName>
    <definedName name="ФП02П20">'Пороговые значения'!$AG$4</definedName>
    <definedName name="ФП02пр">'Расчет показателей'!$M$10</definedName>
    <definedName name="ФП02прКоэф">'Расчет показателей'!$N$10</definedName>
    <definedName name="ФП02Уср">'Расчет показателей'!$P$10</definedName>
    <definedName name="ФП03">'Расчет показателей'!$J$11</definedName>
    <definedName name="ФП03БаллИтог">'Расчет показателей'!$R$11</definedName>
    <definedName name="ФП03Коэф">'Расчет показателей'!$K$11</definedName>
    <definedName name="ФП03П01">'Пороговые значения'!$D$5</definedName>
    <definedName name="ФП03П02">'Пороговые значения'!$E$5</definedName>
    <definedName name="ФП03П03">'Пороговые значения'!$G$5</definedName>
    <definedName name="ФП03П04">'Пороговые значения'!$H$5</definedName>
    <definedName name="ФП03П05">'Пороговые значения'!$J$5</definedName>
    <definedName name="ФП03П06">'Пороговые значения'!$K$5</definedName>
    <definedName name="ФП03П07">'Пороговые значения'!$M$5</definedName>
    <definedName name="ФП03П08">'Пороговые значения'!$N$5</definedName>
    <definedName name="ФП03П09">'Пороговые значения'!$P$5</definedName>
    <definedName name="ФП03П10">'Пороговые значения'!$Q$5</definedName>
    <definedName name="ФП03П11">'Пороговые значения'!$S$5</definedName>
    <definedName name="ФП03П12">'Пороговые значения'!$T$5</definedName>
    <definedName name="ФП03П13">'Пороговые значения'!$V$5</definedName>
    <definedName name="ФП03П14">'Пороговые значения'!$W$5</definedName>
    <definedName name="ФП03П15">'Пороговые значения'!$Y$5</definedName>
    <definedName name="ФП03П16">'Пороговые значения'!$Z$5</definedName>
    <definedName name="ФП03П17">'Пороговые значения'!$AB$5</definedName>
    <definedName name="ФП03П18">'Пороговые значения'!$AC$5</definedName>
    <definedName name="ФП03П19">'Пороговые значения'!$AE$5</definedName>
    <definedName name="ФП03П20">'Пороговые значения'!$AG$5</definedName>
    <definedName name="ФП03пр">'Расчет показателей'!$M$11</definedName>
    <definedName name="ФП03прКоэф">'Расчет показателей'!$N$11</definedName>
    <definedName name="ФП03Уср">'Расчет показателей'!$P$11</definedName>
    <definedName name="ФП04">'Расчет показателей'!$J$12</definedName>
    <definedName name="ФП04БаллИтог">'Расчет показателей'!$R$12</definedName>
    <definedName name="ФП04Коэф">'Расчет показателей'!$K$12</definedName>
    <definedName name="ФП04П01">'Пороговые значения'!$D$6</definedName>
    <definedName name="ФП04П02">'Пороговые значения'!$E$6</definedName>
    <definedName name="ФП04П03">'Пороговые значения'!$G$6</definedName>
    <definedName name="ФП04П04">'Пороговые значения'!$H$6</definedName>
    <definedName name="ФП04П05">'Пороговые значения'!$J$6</definedName>
    <definedName name="ФП04П06">'Пороговые значения'!$K$6</definedName>
    <definedName name="ФП04П07">'Пороговые значения'!$M$6</definedName>
    <definedName name="ФП04П08">'Пороговые значения'!$N$6</definedName>
    <definedName name="ФП04П09">'Пороговые значения'!$P$6</definedName>
    <definedName name="ФП04П10">'Пороговые значения'!$Q$6</definedName>
    <definedName name="ФП04П11">'Пороговые значения'!$S$6</definedName>
    <definedName name="ФП04П12">'Пороговые значения'!$T$6</definedName>
    <definedName name="ФП04П13">'Пороговые значения'!$V$6</definedName>
    <definedName name="ФП04П14">'Пороговые значения'!$W$6</definedName>
    <definedName name="ФП04П15">'Пороговые значения'!$Y$6</definedName>
    <definedName name="ФП04П16">'Пороговые значения'!$Z$6</definedName>
    <definedName name="ФП04П17">'Пороговые значения'!$AB$6</definedName>
    <definedName name="ФП04П18">'Пороговые значения'!$AC$6</definedName>
    <definedName name="ФП04П19">'Пороговые значения'!$AE$6</definedName>
    <definedName name="ФП04П20">'Пороговые значения'!$AG$6</definedName>
    <definedName name="ФП04пр">'Расчет показателей'!$M$12</definedName>
    <definedName name="ФП04прКоэф">'Расчет показателей'!$N$12</definedName>
    <definedName name="ФП04Уср">'Расчет показателей'!$P$12</definedName>
    <definedName name="ФП05">'Расчет показателей'!$J$13</definedName>
    <definedName name="ФП05БаллИтог">'Расчет показателей'!$R$13</definedName>
    <definedName name="ФП05Коэф">'Расчет показателей'!$K$13</definedName>
    <definedName name="ФП05П01">'Пороговые значения'!$D$7</definedName>
    <definedName name="ФП05П02">'Пороговые значения'!$E$7</definedName>
    <definedName name="ФП05П03">'Пороговые значения'!$G$7</definedName>
    <definedName name="ФП05П04">'Пороговые значения'!$H$7</definedName>
    <definedName name="ФП05П05">'Пороговые значения'!$J$7</definedName>
    <definedName name="ФП05П06">'Пороговые значения'!$K$7</definedName>
    <definedName name="ФП05П07">'Пороговые значения'!$M$7</definedName>
    <definedName name="ФП05П08">'Пороговые значения'!$N$7</definedName>
    <definedName name="ФП05П09">'Пороговые значения'!$P$7</definedName>
    <definedName name="ФП05П10">'Пороговые значения'!$Q$7</definedName>
    <definedName name="ФП05П11">'Пороговые значения'!$S$7</definedName>
    <definedName name="ФП05П12">'Пороговые значения'!$T$7</definedName>
    <definedName name="ФП05П13">'Пороговые значения'!$V$7</definedName>
    <definedName name="ФП05П14">'Пороговые значения'!$W$7</definedName>
    <definedName name="ФП05П15">'Пороговые значения'!$Y$7</definedName>
    <definedName name="ФП05П16">'Пороговые значения'!$Z$7</definedName>
    <definedName name="ФП05П17">'Пороговые значения'!$AB$7</definedName>
    <definedName name="ФП05П18">'Пороговые значения'!$AC$7</definedName>
    <definedName name="ФП05П19">'Пороговые значения'!$AE$7</definedName>
    <definedName name="ФП05П20">'Пороговые значения'!$AG$7</definedName>
    <definedName name="ФП05пр">'Расчет показателей'!$M$13</definedName>
    <definedName name="ФП05прКоэф">'Расчет показателей'!$N$13</definedName>
    <definedName name="ФП05Уср">'Расчет показателей'!$P$13</definedName>
    <definedName name="ФП06">'Расчет показателей'!$J$14</definedName>
    <definedName name="ФП06БаллИтог">'Расчет показателей'!$R$14</definedName>
    <definedName name="ФП06Коэф">'Расчет показателей'!$K$14</definedName>
    <definedName name="ФП06П01">'Пороговые значения'!$D$8</definedName>
    <definedName name="ФП06П02">'Пороговые значения'!$E$8</definedName>
    <definedName name="ФП06П03">'Пороговые значения'!$G$8</definedName>
    <definedName name="ФП06П04">'Пороговые значения'!$H$8</definedName>
    <definedName name="ФП06П05">'Пороговые значения'!$J$8</definedName>
    <definedName name="ФП06П06">'Пороговые значения'!$K$8</definedName>
    <definedName name="ФП06П07">'Пороговые значения'!$M$8</definedName>
    <definedName name="ФП06П08">'Пороговые значения'!$N$8</definedName>
    <definedName name="ФП06П09">'Пороговые значения'!$P$8</definedName>
    <definedName name="ФП06П10">'Пороговые значения'!$Q$8</definedName>
    <definedName name="ФП06П11">'Пороговые значения'!$S$8</definedName>
    <definedName name="ФП06П12">'Пороговые значения'!$T$8</definedName>
    <definedName name="ФП06П13">'Пороговые значения'!$V$8</definedName>
    <definedName name="ФП06П14">'Пороговые значения'!$W$8</definedName>
    <definedName name="ФП06П15">'Пороговые значения'!$Y$8</definedName>
    <definedName name="ФП06П16">'Пороговые значения'!$Z$8</definedName>
    <definedName name="ФП06П17">'Пороговые значения'!$AB$8</definedName>
    <definedName name="ФП06П18">'Пороговые значения'!$AC$8</definedName>
    <definedName name="ФП06П19">'Пороговые значения'!$AE$8</definedName>
    <definedName name="ФП06П20">'Пороговые значения'!$AG$8</definedName>
    <definedName name="ФП06пр">'Расчет показателей'!$M$14</definedName>
    <definedName name="ФП06прКоэф">'Расчет показателей'!$N$14</definedName>
    <definedName name="ФП06Уср">'Расчет показателей'!$P$14</definedName>
    <definedName name="ФП07">'Расчет показателей'!$J$15</definedName>
    <definedName name="ФП07БаллИтог">'Расчет показателей'!$R$15</definedName>
    <definedName name="ФП07Коэф">'Расчет показателей'!$K$15</definedName>
    <definedName name="ФП07П01">'Пороговые значения'!$D$9</definedName>
    <definedName name="ФП07П02">'Пороговые значения'!$E$9</definedName>
    <definedName name="ФП07П03">'Пороговые значения'!$G$9</definedName>
    <definedName name="ФП07П04">'Пороговые значения'!$H$9</definedName>
    <definedName name="ФП07П05">'Пороговые значения'!$J$9</definedName>
    <definedName name="ФП07П06">'Пороговые значения'!$K$9</definedName>
    <definedName name="ФП07П07">'Пороговые значения'!$M$9</definedName>
    <definedName name="ФП07П08">'Пороговые значения'!$N$9</definedName>
    <definedName name="ФП07П09">'Пороговые значения'!$P$9</definedName>
    <definedName name="ФП07П10">'Пороговые значения'!$Q$9</definedName>
    <definedName name="ФП07П11">'Пороговые значения'!$S$9</definedName>
    <definedName name="ФП07П12">'Пороговые значения'!$T$9</definedName>
    <definedName name="ФП07П13">'Пороговые значения'!$V$9</definedName>
    <definedName name="ФП07П14">'Пороговые значения'!$W$9</definedName>
    <definedName name="ФП07П15">'Пороговые значения'!$Y$9</definedName>
    <definedName name="ФП07П16">'Пороговые значения'!$Z$9</definedName>
    <definedName name="ФП07П17">'Пороговые значения'!$AB$9</definedName>
    <definedName name="ФП07П18">'Пороговые значения'!$AC$9</definedName>
    <definedName name="ФП07П19">'Пороговые значения'!$AE$9</definedName>
    <definedName name="ФП07П20">'Пороговые значения'!$AG$9</definedName>
    <definedName name="ФП07пр">'Расчет показателей'!$M$15</definedName>
    <definedName name="ФП07прКоэф">'Расчет показателей'!$N$15</definedName>
    <definedName name="ФП07Уср">'Расчет показателей'!$P$15</definedName>
    <definedName name="ФП08">'Расчет показателей'!$J$16</definedName>
    <definedName name="ФП08БаллИтог">'Расчет показателей'!$R$16</definedName>
    <definedName name="ФП08Коэф">'Расчет показателей'!$K$16</definedName>
    <definedName name="ФП08П01">'Пороговые значения'!$D$10</definedName>
    <definedName name="ФП08П02">'Пороговые значения'!$E$10</definedName>
    <definedName name="ФП08П03">'Пороговые значения'!$G$10</definedName>
    <definedName name="ФП08П04">'Пороговые значения'!$H$10</definedName>
    <definedName name="ФП08П05">'Пороговые значения'!$J$10</definedName>
    <definedName name="ФП08П06">'Пороговые значения'!$K$10</definedName>
    <definedName name="ФП08П07">'Пороговые значения'!$M$10</definedName>
    <definedName name="ФП08П08">'Пороговые значения'!$N$10</definedName>
    <definedName name="ФП08П09">'Пороговые значения'!$P$10</definedName>
    <definedName name="ФП08П10">'Пороговые значения'!$Q$10</definedName>
    <definedName name="ФП08П11">'Пороговые значения'!$S$10</definedName>
    <definedName name="ФП08П12">'Пороговые значения'!$T$10</definedName>
    <definedName name="ФП08П13">'Пороговые значения'!$V$10</definedName>
    <definedName name="ФП08П14">'Пороговые значения'!$W$10</definedName>
    <definedName name="ФП08П15">'Пороговые значения'!$Y$10</definedName>
    <definedName name="ФП08П16">'Пороговые значения'!$Z$10</definedName>
    <definedName name="ФП08П17">'Пороговые значения'!$AB$10</definedName>
    <definedName name="ФП08П18">'Пороговые значения'!$AC$10</definedName>
    <definedName name="ФП08П19">'Пороговые значения'!$AE$10</definedName>
    <definedName name="ФП08П20">'Пороговые значения'!$AG$10</definedName>
    <definedName name="ФП08пр">'Расчет показателей'!$M$16</definedName>
    <definedName name="ФП08прКоэф">'Расчет показателей'!$N$16</definedName>
    <definedName name="ФП08Уср">'Расчет показателей'!$P$16</definedName>
    <definedName name="ФП09">'Расчет показателей'!$J$17</definedName>
    <definedName name="ФП09БаллИтог">'Расчет показателей'!$R$17</definedName>
    <definedName name="ФП09Коэф">'Расчет показателей'!$K$17</definedName>
    <definedName name="ФП09П01">'Пороговые значения'!$D$11</definedName>
    <definedName name="ФП09П02">'Пороговые значения'!$E$11</definedName>
    <definedName name="ФП09П03">'Пороговые значения'!$G$11</definedName>
    <definedName name="ФП09П04">'Пороговые значения'!$H$11</definedName>
    <definedName name="ФП09П05">'Пороговые значения'!$J$11</definedName>
    <definedName name="ФП09П06">'Пороговые значения'!$K$11</definedName>
    <definedName name="ФП09П07">'Пороговые значения'!$M$11</definedName>
    <definedName name="ФП09П08">'Пороговые значения'!$N$11</definedName>
    <definedName name="ФП09П09">'Пороговые значения'!$P$11</definedName>
    <definedName name="ФП09П10">'Пороговые значения'!$Q$11</definedName>
    <definedName name="ФП09П11">'Пороговые значения'!$S$11</definedName>
    <definedName name="ФП09П12">'Пороговые значения'!$T$11</definedName>
    <definedName name="ФП09П13">'Пороговые значения'!$V$11</definedName>
    <definedName name="ФП09П14">'Пороговые значения'!$W$11</definedName>
    <definedName name="ФП09П15">'Пороговые значения'!$Y$11</definedName>
    <definedName name="ФП09П16">'Пороговые значения'!$Z$11</definedName>
    <definedName name="ФП09П17">'Пороговые значения'!$AB$11</definedName>
    <definedName name="ФП09П18">'Пороговые значения'!$AC$11</definedName>
    <definedName name="ФП09П19">'Пороговые значения'!$AE$11</definedName>
    <definedName name="ФП09П20">'Пороговые значения'!$AG$11</definedName>
    <definedName name="ФП09пр">'Расчет показателей'!$M$17</definedName>
    <definedName name="ФП09прКоэф">'Расчет показателей'!$N$17</definedName>
    <definedName name="ФП09Уср">'Расчет показателей'!$P$17</definedName>
    <definedName name="ФП10">'Расчет показателей'!$J$18</definedName>
    <definedName name="ФП10БаллИтог">'Расчет показателей'!$R$18</definedName>
    <definedName name="ФП10Коэф">'Расчет показателей'!$K$18</definedName>
    <definedName name="ФП10П01">'Пороговые значения'!$D$12</definedName>
    <definedName name="ФП10П02">'Пороговые значения'!$E$12</definedName>
    <definedName name="ФП10П03">'Пороговые значения'!$G$12</definedName>
    <definedName name="ФП10П04">'Пороговые значения'!$H$12</definedName>
    <definedName name="ФП10П05">'Пороговые значения'!$J$12</definedName>
    <definedName name="ФП10П06">'Пороговые значения'!$K$12</definedName>
    <definedName name="ФП10П07">'Пороговые значения'!$M$12</definedName>
    <definedName name="ФП10П08">'Пороговые значения'!$N$12</definedName>
    <definedName name="ФП10П09">'Пороговые значения'!$P$12</definedName>
    <definedName name="ФП10П10">'Пороговые значения'!$Q$12</definedName>
    <definedName name="ФП10П11">'Пороговые значения'!$S$12</definedName>
    <definedName name="ФП10П12">'Пороговые значения'!$T$12</definedName>
    <definedName name="ФП10П13">'Пороговые значения'!$V$12</definedName>
    <definedName name="ФП10П14">'Пороговые значения'!$W$12</definedName>
    <definedName name="ФП10П15">'Пороговые значения'!$Y$12</definedName>
    <definedName name="ФП10П16">'Пороговые значения'!$Z$12</definedName>
    <definedName name="ФП10П17">'Пороговые значения'!$AB$12</definedName>
    <definedName name="ФП10П18">'Пороговые значения'!$AC$12</definedName>
    <definedName name="ФП10П19">'Пороговые значения'!$AE$12</definedName>
    <definedName name="ФП10П20">'Пороговые значения'!$AG$12</definedName>
    <definedName name="ФП10пр">'Расчет показателей'!$M$18</definedName>
    <definedName name="ФП10прКоэф">'Расчет показателей'!$N$18</definedName>
    <definedName name="ФП10Уср">'Расчет показателей'!$P$18</definedName>
    <definedName name="ЦЕНА">'Ввод данных'!$D$35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M10" i="2" s="1"/>
  <c r="N10" i="2" s="1"/>
  <c r="D32" i="1"/>
  <c r="E27" i="1"/>
  <c r="M14" i="2" s="1"/>
  <c r="N14" i="2" s="1"/>
  <c r="D27" i="1"/>
  <c r="J14" i="2" s="1"/>
  <c r="K14" i="2" s="1"/>
  <c r="E22" i="1"/>
  <c r="M15" i="2" s="1"/>
  <c r="N15" i="2" s="1"/>
  <c r="D22" i="1"/>
  <c r="D12" i="1"/>
  <c r="E12" i="1"/>
  <c r="M18" i="2"/>
  <c r="N18" i="2" s="1"/>
  <c r="J18" i="2"/>
  <c r="K18" i="2" s="1"/>
  <c r="M17" i="2"/>
  <c r="N17" i="2" s="1"/>
  <c r="J17" i="2"/>
  <c r="K17" i="2" s="1"/>
  <c r="M16" i="2"/>
  <c r="N16" i="2" s="1"/>
  <c r="J16" i="2"/>
  <c r="K16" i="2" s="1"/>
  <c r="M13" i="2"/>
  <c r="N13" i="2" s="1"/>
  <c r="J13" i="2"/>
  <c r="K13" i="2" s="1"/>
  <c r="M12" i="2"/>
  <c r="N12" i="2" s="1"/>
  <c r="J12" i="2"/>
  <c r="K12" i="2" s="1"/>
  <c r="M11" i="2"/>
  <c r="N11" i="2" s="1"/>
  <c r="J11" i="2"/>
  <c r="K11" i="2" s="1"/>
  <c r="J10" i="2"/>
  <c r="K10" i="2" s="1"/>
  <c r="E7" i="1"/>
  <c r="F6" i="1"/>
  <c r="C6" i="1"/>
  <c r="M9" i="2" l="1"/>
  <c r="N9" i="2" s="1"/>
  <c r="J9" i="2"/>
  <c r="K9" i="2" s="1"/>
  <c r="J15" i="2"/>
  <c r="K15" i="2" s="1"/>
  <c r="P15" i="2" s="1"/>
  <c r="R15" i="2" s="1"/>
  <c r="P17" i="2"/>
  <c r="R17" i="2" s="1"/>
  <c r="P13" i="2"/>
  <c r="R13" i="2" s="1"/>
  <c r="P10" i="2"/>
  <c r="R10" i="2" s="1"/>
  <c r="P18" i="2"/>
  <c r="R18" i="2" s="1"/>
  <c r="P11" i="2"/>
  <c r="R11" i="2" s="1"/>
  <c r="P16" i="2"/>
  <c r="R16" i="2" s="1"/>
  <c r="P12" i="2"/>
  <c r="R12" i="2" s="1"/>
  <c r="P14" i="2"/>
  <c r="R14" i="2" s="1"/>
  <c r="P9" i="2" l="1"/>
  <c r="R9" i="2" s="1"/>
  <c r="C2" i="2" s="1"/>
  <c r="B5" i="2"/>
  <c r="D3" i="2" l="1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B18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>Не путать с разделом "Целевое финансирование"</t>
        </r>
      </text>
    </comment>
    <comment ref="B35" authorId="0" shapeId="0" xr:uid="{00000000-0006-0000-0000-000002000000}">
      <text>
        <r>
          <rPr>
            <sz val="9"/>
            <color rgb="FF000000"/>
            <rFont val="Tahoma"/>
            <family val="2"/>
            <charset val="204"/>
          </rPr>
          <t>Цена указывается как есть, перевод "в тысячи рублей" / "в миллион рублей" осуществляется автоматически.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H10" authorId="0" shapeId="0" xr:uid="{00000000-0006-0000-0100-000001000000}">
      <text>
        <r>
          <rPr>
            <sz val="9"/>
            <color rgb="FF000000"/>
            <rFont val="Tahoma"/>
            <family val="2"/>
            <charset val="204"/>
          </rPr>
          <t>Значение Стр2330 в формуле берётся по модулю.</t>
        </r>
      </text>
    </comment>
    <comment ref="H17" authorId="0" shapeId="0" xr:uid="{00000000-0006-0000-0100-000002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  <comment ref="H18" authorId="0" shapeId="0" xr:uid="{00000000-0006-0000-0100-000003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</commentList>
</comments>
</file>

<file path=xl/sharedStrings.xml><?xml version="1.0" encoding="utf-8"?>
<sst xmlns="http://schemas.openxmlformats.org/spreadsheetml/2006/main" count="251" uniqueCount="131">
  <si>
    <t>I. ВНЕОБОРОТНЫЕ АКТИВЫ</t>
  </si>
  <si>
    <t>Основные средства</t>
  </si>
  <si>
    <t>Итого по разделу I</t>
  </si>
  <si>
    <t>II. ОБОРОТНЫЕ АКТИВЫ</t>
  </si>
  <si>
    <t>Дебиторская задолженность</t>
  </si>
  <si>
    <t>Денежные средства и денежные эквиваленты</t>
  </si>
  <si>
    <t>БАЛАНС</t>
  </si>
  <si>
    <t>Итого по разделу III</t>
  </si>
  <si>
    <t>IV. ДОЛГОСРОЧНЫЕ ОБЯЗАТЕЛЬСТВА</t>
  </si>
  <si>
    <t>Заемные средства</t>
  </si>
  <si>
    <t>Итого по разделу IV</t>
  </si>
  <si>
    <t>V. КРАТКОСРОЧНЫЕ ОБЯЗАТЕЛЬСТВА</t>
  </si>
  <si>
    <t>Кредиторская задолженность</t>
  </si>
  <si>
    <t>Итого по разделу V</t>
  </si>
  <si>
    <t>Отчет о финансовых результатах (форма по ОКУД 0710002)</t>
  </si>
  <si>
    <t>Выручка</t>
  </si>
  <si>
    <t>Проценты к уплате</t>
  </si>
  <si>
    <t>Прибыль (убыток) до налогообложения</t>
  </si>
  <si>
    <t>На отчетную дату отчетного периода</t>
  </si>
  <si>
    <t>На 31 декабря предыдущего года</t>
  </si>
  <si>
    <t>За отчетный год</t>
  </si>
  <si>
    <t>За предыдущий год</t>
  </si>
  <si>
    <t>Код строки</t>
  </si>
  <si>
    <t>Тип участника</t>
  </si>
  <si>
    <t>Значение весового коэффициента периода</t>
  </si>
  <si>
    <t>предыдущий отчетный период</t>
  </si>
  <si>
    <t>отчетный период</t>
  </si>
  <si>
    <t>на дату окончания квартала, предшествующего кварталу, в котором установлен день окончания подача заявка</t>
  </si>
  <si>
    <t>↓Заполнить↓</t>
  </si>
  <si>
    <t>III. КАПИТАЛ И РЕЗЕРВЫ</t>
  </si>
  <si>
    <t>Доля привлеченнных средств в пассивах, %</t>
  </si>
  <si>
    <t>Рентабельность инвестиционного капитала, %</t>
  </si>
  <si>
    <t>Долг / EBITDA, год</t>
  </si>
  <si>
    <t>Период оборота дебиторской задолженности, день</t>
  </si>
  <si>
    <t>Период оборота кридиторской  задолженности, день</t>
  </si>
  <si>
    <t>Коэффициент абсолютной ликвидности</t>
  </si>
  <si>
    <t>Коэффициент покрытия внеоборотных активов долгосрочными источниками финансирования</t>
  </si>
  <si>
    <t>Коэффициент финансовой незавизисимости (автономии)</t>
  </si>
  <si>
    <t>Коэффициент масштаба деятельнности участника по отношению к годовой выручке</t>
  </si>
  <si>
    <t>Коэффициент масштаба деятельности участника по отношению к активам</t>
  </si>
  <si>
    <t>Ссылка на действующую методику</t>
  </si>
  <si>
    <t>Рассчитываемый показатель</t>
  </si>
  <si>
    <t>Формула расчета</t>
  </si>
  <si>
    <t>п.2.7 (Форумала 2)</t>
  </si>
  <si>
    <t>п.2.8 (Формула 3)</t>
  </si>
  <si>
    <t>п.2.9 (Формулы 4, 5)</t>
  </si>
  <si>
    <t>п.2.10 (Формула 6)</t>
  </si>
  <si>
    <t>п.2.11 (Формула 7)</t>
  </si>
  <si>
    <t>п.2.12 (Формулы 8, 9)</t>
  </si>
  <si>
    <t>п.2.13 (Формула 10)</t>
  </si>
  <si>
    <t>п.2.14 (Формула 11)</t>
  </si>
  <si>
    <t>п.2.15 (Формула 12)</t>
  </si>
  <si>
    <t>п.2.16 (Формула 13)</t>
  </si>
  <si>
    <t>На отчетную дату
отчетного периода</t>
  </si>
  <si>
    <t>На 31 декабря
предыдущего года</t>
  </si>
  <si>
    <t>X &gt;</t>
  </si>
  <si>
    <t>&lt; X ≤</t>
  </si>
  <si>
    <t>X &lt;</t>
  </si>
  <si>
    <t>≤ X &lt;</t>
  </si>
  <si>
    <t>X ≥</t>
  </si>
  <si>
    <t>Х ≤</t>
  </si>
  <si>
    <t>X&lt;</t>
  </si>
  <si>
    <t>X ≤</t>
  </si>
  <si>
    <t>Балл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</si>
  <si>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</si>
  <si>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</si>
  <si>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</si>
  <si>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</si>
  <si>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</si>
  <si>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</si>
  <si>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</si>
  <si>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</si>
  <si>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</si>
  <si>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</si>
  <si>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</si>
  <si>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</si>
  <si>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</si>
  <si>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</si>
  <si>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</si>
  <si>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</si>
  <si>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</si>
  <si>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</si>
  <si>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</si>
  <si>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</si>
  <si>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ФП01</t>
  </si>
  <si>
    <t>ФП02</t>
  </si>
  <si>
    <t>ФП03</t>
  </si>
  <si>
    <t>ФП04</t>
  </si>
  <si>
    <t>ФП05</t>
  </si>
  <si>
    <t>ФП06</t>
  </si>
  <si>
    <t>ФП07</t>
  </si>
  <si>
    <t>ФП08</t>
  </si>
  <si>
    <t>ФП09</t>
  </si>
  <si>
    <t>ФП10</t>
  </si>
  <si>
    <t>ИТОГОВЫЙ БАЛЛ
ПО ПОКАЗАТЕЛЮ</t>
  </si>
  <si>
    <r>
      <rPr>
        <b/>
        <u/>
        <sz val="11"/>
        <color theme="1"/>
        <rFont val="Calibri"/>
        <family val="2"/>
        <charset val="204"/>
        <scheme val="minor"/>
      </rPr>
      <t>Кризисное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(менее 0,45 баллов)</t>
    </r>
  </si>
  <si>
    <r>
      <rPr>
        <b/>
        <u/>
        <sz val="11"/>
        <color theme="1"/>
        <rFont val="Calibri"/>
        <family val="2"/>
        <charset val="204"/>
        <scheme val="minor"/>
      </rPr>
      <t>Неустойчивое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(от 0,45 баллов включительно
до 0,90 баллов включительно)</t>
    </r>
  </si>
  <si>
    <r>
      <rPr>
        <b/>
        <u/>
        <sz val="11"/>
        <color theme="1"/>
        <rFont val="Calibri"/>
        <family val="2"/>
        <charset val="204"/>
        <scheme val="minor"/>
      </rPr>
      <t>Удовлетворительное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(более 0,90 баллов)</t>
    </r>
  </si>
  <si>
    <r>
      <rPr>
        <b/>
        <sz val="14"/>
        <color rgb="FF002060"/>
        <rFont val="Calibri"/>
        <family val="2"/>
        <charset val="204"/>
        <scheme val="minor"/>
      </rPr>
      <t>Итоговая оценка:</t>
    </r>
    <r>
      <rPr>
        <b/>
        <sz val="14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(от 0,00 до 1,00 балла)</t>
    </r>
  </si>
  <si>
    <t>значение показателя с учетом весового коэффициента периода</t>
  </si>
  <si>
    <t>Усредненный (средневзвешенный) рассчитанный показатель</t>
  </si>
  <si>
    <t>Единица измерения бухгалтерского баланса</t>
  </si>
  <si>
    <t>"в млн. рублей"</t>
  </si>
  <si>
    <t>"в тыс. рублей"</t>
  </si>
  <si>
    <t>(2330)</t>
  </si>
  <si>
    <r>
      <t xml:space="preserve">значение показателя
</t>
    </r>
    <r>
      <rPr>
        <sz val="6"/>
        <color rgb="FFC00000"/>
        <rFont val="Calibri"/>
        <family val="2"/>
        <charset val="204"/>
        <scheme val="minor"/>
      </rPr>
      <t>(ячейкам, подсвеченным оранжевым, присвоено значение -1000 / 1000 (для минимально возможного балла), так как математически происходит деление на "0" )</t>
    </r>
  </si>
  <si>
    <t>Доля привлеченных средств в пассивах, %</t>
  </si>
  <si>
    <t>Период оборота кредиторской  задолженности, день</t>
  </si>
  <si>
    <t>Коэффициент финансовой независимости (автономии)</t>
  </si>
  <si>
    <t>"Округл0" =</t>
  </si>
  <si>
    <t>"Округл1" =</t>
  </si>
  <si>
    <t>"Округл2" =</t>
  </si>
  <si>
    <t>Рентабельность инвестированного капитала, %</t>
  </si>
  <si>
    <t>Коэффициент масштаба деятельности участника по отношению к годовой выручке</t>
  </si>
  <si>
    <t>Коэффициент масштаба деятельности участника по отношению к активам</t>
  </si>
  <si>
    <r>
      <t xml:space="preserve">Код строки
</t>
    </r>
    <r>
      <rPr>
        <i/>
        <sz val="8"/>
        <color rgb="FFC00000"/>
        <rFont val="Calibri"/>
        <family val="2"/>
        <charset val="204"/>
        <scheme val="minor"/>
      </rPr>
      <t>(по отсутствующим строкам значение принимается равным "0")</t>
    </r>
  </si>
  <si>
    <r>
      <t>Наименование участника:</t>
    </r>
    <r>
      <rPr>
        <sz val="18"/>
        <rFont val="Calibri"/>
        <family val="2"/>
        <charset val="204"/>
        <scheme val="minor"/>
      </rPr>
      <t xml:space="preserve"> </t>
    </r>
  </si>
  <si>
    <r>
      <rPr>
        <b/>
        <i/>
        <sz val="11"/>
        <color rgb="FFFF0000"/>
        <rFont val="Calibri"/>
        <family val="2"/>
        <charset val="204"/>
        <scheme val="minor"/>
      </rPr>
      <t>ВНИМАНИЕ!!!</t>
    </r>
    <r>
      <rPr>
        <i/>
        <sz val="11"/>
        <color rgb="FFFF0000"/>
        <rFont val="Calibri"/>
        <family val="2"/>
        <charset val="204"/>
        <scheme val="minor"/>
      </rPr>
      <t xml:space="preserve"> В программе Excel для отделения дробной части от целого (указания копеек) необходимо использовать запятую (знак ",") с целью осуществления корректных математических расчетов. Указание точки вместо запятой недопустимо!</t>
    </r>
  </si>
  <si>
    <t xml:space="preserve"> </t>
  </si>
  <si>
    <t>Предложенная в заявке цена договора 
в рублях без НДС</t>
  </si>
  <si>
    <r>
      <t xml:space="preserve">Бухгалтерский баланс (форма по ОКУД 0710001)
</t>
    </r>
    <r>
      <rPr>
        <b/>
        <sz val="11"/>
        <color rgb="FFFF0000"/>
        <rFont val="Calibri (Основной текст)"/>
        <charset val="204"/>
      </rPr>
      <t>(УПРОЩЕННЫЕ ФОРМЫ БАЛАНСА)</t>
    </r>
  </si>
  <si>
    <t xml:space="preserve">Нематериальные, финансовые и другие внеоборотные активы (включая результаты исследований и разработок, незавершенные вложения в нематериальные активы, исследования и разработки, отложенные налоговые активы) </t>
  </si>
  <si>
    <t>1170</t>
  </si>
  <si>
    <t>Другие долгосрочные обязательства</t>
  </si>
  <si>
    <t>1450</t>
  </si>
  <si>
    <t>Другие краткосрочные обязательства</t>
  </si>
  <si>
    <t>1550</t>
  </si>
  <si>
    <t>Налоги на прибыль (доходы) (включая текущий налог 
на прибыль, изменение отложенных налоговых 
обязательств и активов)</t>
  </si>
  <si>
    <t>2410</t>
  </si>
  <si>
    <t>Чистая прибыль (убыток)</t>
  </si>
  <si>
    <t>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</si>
</sst>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6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8"/>
      <color rgb="FFC00000"/>
      <name val="Calibri"/>
      <family val="2"/>
      <charset val="204"/>
      <scheme val="minor"/>
    </font>
    <font>
      <sz val="6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Wingdings"/>
      <charset val="2"/>
    </font>
    <font>
      <b/>
      <sz val="14"/>
      <color rgb="FF0070C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i/>
      <sz val="6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8"/>
      <color rgb="FF000000"/>
      <name val="Segoe UI"/>
      <charset val="1"/>
    </font>
    <font>
      <b/>
      <sz val="11"/>
      <color rgb="FFFF0000"/>
      <name val="Calibri (Основной текст)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medium">
        <color theme="0"/>
      </bottom>
      <diagonal/>
    </border>
    <border>
      <left style="medium">
        <color rgb="FF0070C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rgb="FF0070C0"/>
      </bottom>
      <diagonal/>
    </border>
    <border>
      <left style="medium">
        <color theme="4"/>
      </left>
      <right style="medium">
        <color theme="4"/>
      </right>
      <top/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</borders>
  <cellStyleXfs count="1">
    <xf numFmtId="0" fontId="0" fillId="0" borderId="0"/>
  </cellStyleXfs>
  <cellXfs count="195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 indent="1"/>
    </xf>
    <xf numFmtId="49" fontId="0" fillId="2" borderId="21" xfId="0" applyNumberFormat="1" applyFill="1" applyBorder="1" applyAlignment="1">
      <alignment horizontal="left" vertical="center" wrapText="1" indent="1"/>
    </xf>
    <xf numFmtId="49" fontId="0" fillId="2" borderId="19" xfId="0" applyNumberForma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0" fillId="2" borderId="21" xfId="0" applyNumberForma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65" fontId="17" fillId="0" borderId="4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2" fillId="0" borderId="0" xfId="0" applyFont="1"/>
    <xf numFmtId="166" fontId="22" fillId="0" borderId="8" xfId="0" applyNumberFormat="1" applyFont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4" fontId="23" fillId="0" borderId="42" xfId="0" applyNumberFormat="1" applyFont="1" applyBorder="1" applyAlignment="1">
      <alignment horizontal="center" vertical="center"/>
    </xf>
    <xf numFmtId="165" fontId="20" fillId="0" borderId="46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4" fontId="23" fillId="0" borderId="43" xfId="0" applyNumberFormat="1" applyFont="1" applyBorder="1" applyAlignment="1">
      <alignment horizontal="center" vertical="center"/>
    </xf>
    <xf numFmtId="165" fontId="20" fillId="0" borderId="47" xfId="0" applyNumberFormat="1" applyFont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166" fontId="22" fillId="0" borderId="13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165" fontId="23" fillId="0" borderId="44" xfId="0" applyNumberFormat="1" applyFont="1" applyBorder="1" applyAlignment="1">
      <alignment horizontal="center" vertical="center"/>
    </xf>
    <xf numFmtId="165" fontId="20" fillId="0" borderId="48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5" fontId="22" fillId="4" borderId="13" xfId="0" applyNumberFormat="1" applyFont="1" applyFill="1" applyBorder="1" applyAlignment="1">
      <alignment horizontal="center" vertical="center"/>
    </xf>
    <xf numFmtId="165" fontId="22" fillId="4" borderId="9" xfId="0" applyNumberFormat="1" applyFont="1" applyFill="1" applyBorder="1" applyAlignment="1">
      <alignment horizontal="center" vertical="center"/>
    </xf>
    <xf numFmtId="165" fontId="22" fillId="4" borderId="8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4" fontId="22" fillId="4" borderId="9" xfId="0" applyNumberFormat="1" applyFont="1" applyFill="1" applyBorder="1" applyAlignment="1">
      <alignment horizontal="center" vertical="center"/>
    </xf>
    <xf numFmtId="4" fontId="22" fillId="4" borderId="8" xfId="0" applyNumberFormat="1" applyFont="1" applyFill="1" applyBorder="1" applyAlignment="1">
      <alignment horizontal="center" vertical="center"/>
    </xf>
    <xf numFmtId="4" fontId="22" fillId="4" borderId="10" xfId="0" applyNumberFormat="1" applyFont="1" applyFill="1" applyBorder="1" applyAlignment="1">
      <alignment horizontal="center" vertical="center"/>
    </xf>
    <xf numFmtId="49" fontId="26" fillId="4" borderId="33" xfId="0" applyNumberFormat="1" applyFont="1" applyFill="1" applyBorder="1" applyAlignment="1">
      <alignment horizontal="center" vertical="center"/>
    </xf>
    <xf numFmtId="49" fontId="26" fillId="4" borderId="34" xfId="0" applyNumberFormat="1" applyFont="1" applyFill="1" applyBorder="1" applyAlignment="1">
      <alignment horizontal="center" vertical="center"/>
    </xf>
    <xf numFmtId="49" fontId="26" fillId="4" borderId="32" xfId="0" applyNumberFormat="1" applyFont="1" applyFill="1" applyBorder="1" applyAlignment="1">
      <alignment horizontal="center" vertical="center"/>
    </xf>
    <xf numFmtId="49" fontId="26" fillId="4" borderId="14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49" fontId="26" fillId="5" borderId="14" xfId="0" applyNumberFormat="1" applyFont="1" applyFill="1" applyBorder="1" applyAlignment="1">
      <alignment horizontal="center" vertical="center"/>
    </xf>
    <xf numFmtId="49" fontId="26" fillId="5" borderId="4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49" fontId="26" fillId="6" borderId="8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 indent="1"/>
    </xf>
    <xf numFmtId="49" fontId="21" fillId="0" borderId="13" xfId="0" applyNumberFormat="1" applyFont="1" applyBorder="1" applyAlignment="1" applyProtection="1">
      <alignment horizontal="left" vertical="center" wrapText="1" indent="1"/>
    </xf>
    <xf numFmtId="49" fontId="21" fillId="0" borderId="14" xfId="0" applyNumberFormat="1" applyFont="1" applyBorder="1" applyAlignment="1" applyProtection="1">
      <alignment horizontal="left" vertical="center" wrapText="1" indent="1"/>
    </xf>
    <xf numFmtId="0" fontId="22" fillId="0" borderId="15" xfId="0" applyFont="1" applyBorder="1" applyAlignment="1" applyProtection="1">
      <alignment vertical="center"/>
    </xf>
    <xf numFmtId="49" fontId="8" fillId="0" borderId="8" xfId="0" applyNumberFormat="1" applyFont="1" applyBorder="1" applyAlignment="1" applyProtection="1">
      <alignment horizontal="left" vertical="center" wrapText="1" indent="1"/>
    </xf>
    <xf numFmtId="49" fontId="8" fillId="0" borderId="4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vertical="center"/>
    </xf>
    <xf numFmtId="49" fontId="21" fillId="0" borderId="8" xfId="0" applyNumberFormat="1" applyFont="1" applyBorder="1" applyAlignment="1" applyProtection="1">
      <alignment horizontal="left" vertical="center" wrapText="1" indent="1"/>
    </xf>
    <xf numFmtId="49" fontId="21" fillId="0" borderId="4" xfId="0" applyNumberFormat="1" applyFont="1" applyBorder="1" applyAlignment="1" applyProtection="1">
      <alignment horizontal="left" vertical="center" wrapText="1" indent="1"/>
    </xf>
    <xf numFmtId="0" fontId="22" fillId="0" borderId="9" xfId="0" applyFont="1" applyBorder="1" applyAlignment="1" applyProtection="1">
      <alignment vertical="center"/>
    </xf>
    <xf numFmtId="49" fontId="21" fillId="0" borderId="10" xfId="0" applyNumberFormat="1" applyFont="1" applyBorder="1" applyAlignment="1" applyProtection="1">
      <alignment horizontal="left" vertical="center" wrapText="1" indent="1"/>
    </xf>
    <xf numFmtId="49" fontId="21" fillId="0" borderId="11" xfId="0" applyNumberFormat="1" applyFont="1" applyBorder="1" applyAlignment="1" applyProtection="1">
      <alignment horizontal="left" vertical="center" wrapText="1" indent="1"/>
    </xf>
    <xf numFmtId="0" fontId="22" fillId="0" borderId="12" xfId="0" applyFont="1" applyBorder="1" applyAlignment="1" applyProtection="1">
      <alignment vertical="center"/>
    </xf>
    <xf numFmtId="165" fontId="22" fillId="4" borderId="15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ont="1" applyFill="1" applyBorder="1" applyAlignment="1">
      <alignment horizontal="center" vertical="center"/>
    </xf>
    <xf numFmtId="3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22" fillId="4" borderId="12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right" vertical="top" indent="1"/>
    </xf>
    <xf numFmtId="3" fontId="29" fillId="0" borderId="0" xfId="0" applyNumberFormat="1" applyFont="1" applyAlignment="1" applyProtection="1">
      <alignment horizontal="left" vertical="top"/>
    </xf>
    <xf numFmtId="0" fontId="30" fillId="0" borderId="0" xfId="0" applyFont="1" applyAlignment="1">
      <alignment horizontal="left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" fillId="0" borderId="32" xfId="0" applyFont="1" applyBorder="1" applyAlignment="1">
      <alignment horizontal="center" vertical="top" wrapText="1"/>
    </xf>
    <xf numFmtId="164" fontId="0" fillId="0" borderId="33" xfId="0" applyNumberFormat="1" applyBorder="1" applyAlignment="1" applyProtection="1">
      <alignment horizontal="center" vertical="center" wrapText="1"/>
    </xf>
    <xf numFmtId="164" fontId="0" fillId="0" borderId="34" xfId="0" applyNumberFormat="1" applyBorder="1" applyAlignment="1" applyProtection="1">
      <alignment horizontal="center" vertical="center" wrapText="1"/>
    </xf>
    <xf numFmtId="0" fontId="1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164" fontId="0" fillId="0" borderId="59" xfId="0" applyNumberFormat="1" applyBorder="1" applyAlignment="1" applyProtection="1">
      <alignment horizontal="center" vertical="center" wrapText="1"/>
    </xf>
    <xf numFmtId="164" fontId="0" fillId="0" borderId="60" xfId="0" applyNumberFormat="1" applyBorder="1" applyAlignment="1" applyProtection="1">
      <alignment horizontal="center" vertical="center" wrapText="1"/>
    </xf>
    <xf numFmtId="49" fontId="0" fillId="9" borderId="19" xfId="0" applyNumberFormat="1" applyFill="1" applyBorder="1" applyAlignment="1">
      <alignment horizontal="left" vertical="center" wrapText="1" indent="2"/>
    </xf>
    <xf numFmtId="49" fontId="0" fillId="9" borderId="1" xfId="0" applyNumberFormat="1" applyFill="1" applyBorder="1" applyAlignment="1">
      <alignment horizontal="center" vertical="center" wrapText="1"/>
    </xf>
    <xf numFmtId="49" fontId="0" fillId="9" borderId="21" xfId="0" applyNumberFormat="1" applyFill="1" applyBorder="1" applyAlignment="1">
      <alignment horizontal="left" vertical="center" wrapText="1" indent="2"/>
    </xf>
    <xf numFmtId="49" fontId="0" fillId="9" borderId="3" xfId="0" applyNumberForma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 applyProtection="1">
      <alignment horizontal="center" vertical="center" wrapText="1"/>
    </xf>
    <xf numFmtId="3" fontId="2" fillId="9" borderId="22" xfId="0" applyNumberFormat="1" applyFont="1" applyFill="1" applyBorder="1" applyAlignment="1" applyProtection="1">
      <alignment horizontal="center" vertical="center" wrapText="1"/>
    </xf>
    <xf numFmtId="3" fontId="2" fillId="9" borderId="1" xfId="0" applyNumberFormat="1" applyFont="1" applyFill="1" applyBorder="1" applyAlignment="1" applyProtection="1">
      <alignment horizontal="center" vertical="center" wrapText="1"/>
    </xf>
    <xf numFmtId="3" fontId="2" fillId="9" borderId="20" xfId="0" applyNumberFormat="1" applyFont="1" applyFill="1" applyBorder="1" applyAlignment="1" applyProtection="1">
      <alignment horizontal="center" vertical="center" wrapText="1"/>
    </xf>
    <xf numFmtId="0" fontId="33" fillId="8" borderId="0" xfId="0" applyFont="1" applyFill="1" applyAlignment="1">
      <alignment horizontal="left" wrapText="1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37" xfId="0" applyFont="1" applyBorder="1" applyAlignment="1" applyProtection="1">
      <alignment horizontal="left" vertical="top"/>
      <protection locked="0"/>
    </xf>
    <xf numFmtId="49" fontId="1" fillId="2" borderId="30" xfId="0" applyNumberFormat="1" applyFont="1" applyFill="1" applyBorder="1" applyAlignment="1">
      <alignment horizontal="right" vertical="center" wrapText="1" indent="1"/>
    </xf>
    <xf numFmtId="49" fontId="1" fillId="2" borderId="37" xfId="0" applyNumberFormat="1" applyFont="1" applyFill="1" applyBorder="1" applyAlignment="1">
      <alignment horizontal="right" vertical="center" wrapText="1" indent="1"/>
    </xf>
    <xf numFmtId="4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2" xfId="0" applyNumberFormat="1" applyFont="1" applyFill="1" applyBorder="1" applyAlignment="1">
      <alignment horizontal="right" vertical="center" wrapText="1" indent="1"/>
    </xf>
    <xf numFmtId="49" fontId="1" fillId="2" borderId="53" xfId="0" applyNumberFormat="1" applyFont="1" applyFill="1" applyBorder="1" applyAlignment="1">
      <alignment horizontal="right" vertical="center" wrapText="1" indent="1"/>
    </xf>
    <xf numFmtId="2" fontId="14" fillId="7" borderId="25" xfId="0" applyNumberFormat="1" applyFont="1" applyFill="1" applyBorder="1" applyAlignment="1">
      <alignment horizontal="center" vertical="center" wrapText="1"/>
    </xf>
    <xf numFmtId="2" fontId="14" fillId="7" borderId="3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7" borderId="45" xfId="0" applyFont="1" applyFill="1" applyBorder="1" applyAlignment="1">
      <alignment horizontal="center" vertical="top" wrapText="1"/>
    </xf>
    <xf numFmtId="0" fontId="10" fillId="7" borderId="47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5" fontId="27" fillId="5" borderId="38" xfId="0" applyNumberFormat="1" applyFont="1" applyFill="1" applyBorder="1" applyAlignment="1">
      <alignment horizontal="center" vertical="center"/>
    </xf>
    <xf numFmtId="165" fontId="27" fillId="5" borderId="40" xfId="0" applyNumberFormat="1" applyFont="1" applyFill="1" applyBorder="1" applyAlignment="1">
      <alignment horizontal="center" vertical="center"/>
    </xf>
    <xf numFmtId="165" fontId="27" fillId="5" borderId="39" xfId="0" applyNumberFormat="1" applyFont="1" applyFill="1" applyBorder="1" applyAlignment="1">
      <alignment horizontal="center" vertical="center"/>
    </xf>
    <xf numFmtId="165" fontId="27" fillId="6" borderId="38" xfId="0" applyNumberFormat="1" applyFont="1" applyFill="1" applyBorder="1" applyAlignment="1">
      <alignment horizontal="center" vertical="center"/>
    </xf>
    <xf numFmtId="165" fontId="27" fillId="6" borderId="39" xfId="0" applyNumberFormat="1" applyFont="1" applyFill="1" applyBorder="1" applyAlignment="1">
      <alignment horizontal="center" vertical="center"/>
    </xf>
    <xf numFmtId="165" fontId="27" fillId="4" borderId="41" xfId="0" applyNumberFormat="1" applyFont="1" applyFill="1" applyBorder="1" applyAlignment="1">
      <alignment horizontal="center" vertical="center"/>
    </xf>
    <xf numFmtId="165" fontId="27" fillId="4" borderId="39" xfId="0" applyNumberFormat="1" applyFont="1" applyFill="1" applyBorder="1" applyAlignment="1">
      <alignment horizontal="center" vertical="center"/>
    </xf>
    <xf numFmtId="165" fontId="27" fillId="4" borderId="38" xfId="0" applyNumberFormat="1" applyFont="1" applyFill="1" applyBorder="1" applyAlignment="1">
      <alignment horizontal="center" vertical="center"/>
    </xf>
    <xf numFmtId="165" fontId="27" fillId="4" borderId="4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 tint="-0.24994659260841701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ist" dx="22" fmlaLink="$F$36" fmlaRange="$F$37:$F$38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1</xdr:rowOff>
        </xdr:from>
        <xdr:to>
          <xdr:col>1</xdr:col>
          <xdr:colOff>4238625</xdr:colOff>
          <xdr:row>4</xdr:row>
          <xdr:rowOff>221483</xdr:rowOff>
        </xdr:to>
        <xdr:grpSp>
          <xdr:nvGrpSpPr>
            <xdr:cNvPr id="2" name="Группа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51155" y="1107441"/>
              <a:ext cx="4171950" cy="475482"/>
              <a:chOff x="315624" y="1255571"/>
              <a:chExt cx="4171950" cy="47755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5624" y="1255571"/>
                <a:ext cx="417195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1 участника (данные за два периода)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15624" y="1514045"/>
                <a:ext cx="4171950" cy="2190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2 участника (данные только за последний период)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35</xdr:row>
          <xdr:rowOff>50800</xdr:rowOff>
        </xdr:from>
        <xdr:to>
          <xdr:col>4</xdr:col>
          <xdr:colOff>101600</xdr:colOff>
          <xdr:row>35</xdr:row>
          <xdr:rowOff>342900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641150</xdr:colOff>
      <xdr:row>8</xdr:row>
      <xdr:rowOff>190501</xdr:rowOff>
    </xdr:from>
    <xdr:ext cx="2660280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Долгосрочные_обязательства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+Краткосрочные_обязательства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Итого_пассивов</m:t>
                        </m:r>
                      </m:den>
                    </m:f>
                    <m:r>
                      <a:rPr lang="ru-RU" sz="6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Долгосрочные_обязательства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+Краткосрочные_обязательства)/(</a:t>
              </a:r>
              <a:r>
                <a:rPr lang="ru-RU" sz="650" b="0" i="0">
                  <a:latin typeface="Cambria Math" panose="02040503050406030204" pitchFamily="18" charset="0"/>
                </a:rPr>
                <a:t>Итого_пассивов)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373831</xdr:colOff>
      <xdr:row>8</xdr:row>
      <xdr:rowOff>190500</xdr:rowOff>
    </xdr:from>
    <xdr:ext cx="99437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Стр1400</m:t>
                        </m:r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+Стр1500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  <m:r>
                      <a:rPr lang="ru-RU" sz="65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Стр1400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+Стр1500)/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Стр1700</a:t>
              </a:r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233241</xdr:colOff>
      <xdr:row>9</xdr:row>
      <xdr:rowOff>178606</xdr:rowOff>
    </xdr:from>
    <xdr:ext cx="3654077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Прибыль_до_налогообложения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+Процент_к_уплате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1−Ставка_налога_на_прибыль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+Долгосрочные_заемные_средства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1−Ставка_налога_на_прибыль))/(</a:t>
              </a:r>
              <a:r>
                <a:rPr lang="ru-RU" sz="650" b="0" i="0">
                  <a:latin typeface="Cambria Math" panose="02040503050406030204" pitchFamily="18" charset="0"/>
                </a:rPr>
                <a:t>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+Долгосрочные_заемные_средства)×100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95616</xdr:colOff>
      <xdr:row>9</xdr:row>
      <xdr:rowOff>184816</xdr:rowOff>
    </xdr:from>
    <xdr:ext cx="1484445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Стр2300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+Стр2330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1−0,2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+Стр1410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1−0,2))/(</a:t>
              </a:r>
              <a:r>
                <a:rPr lang="ru-RU" sz="650" b="0" i="0">
                  <a:latin typeface="Cambria Math" panose="02040503050406030204" pitchFamily="18" charset="0"/>
                </a:rPr>
                <a:t>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+Стр1410)×100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545066</xdr:colOff>
      <xdr:row>10</xdr:row>
      <xdr:rowOff>178573</xdr:rowOff>
    </xdr:from>
    <xdr:ext cx="2852448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Долгосрочные_и_краткосрочные_заемные_средства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−Денежные_средства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Прибыль_до_налогообложения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+Процент_к_уплате+Амортизация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Долгосрочные_и_краткосрочные_заемные_средства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−Денежные_средства)/(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+Процент_к_уплате+Амортизация)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174234</xdr:colOff>
      <xdr:row>10</xdr:row>
      <xdr:rowOff>183299</xdr:rowOff>
    </xdr:from>
    <xdr:ext cx="1304011" cy="265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Стр1410+Стр1510</m:t>
                            </m:r>
                          </m:e>
                        </m:d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+Стр2330+</m:t>
                        </m:r>
                        <m:f>
                          <m:fPr>
                            <m:type m:val="skw"/>
                            <m:ctrlP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Стр1150</m:t>
                            </m:r>
                          </m:num>
                          <m:den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Стр1410+Стр1510)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−Стр1250)/(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+Стр2330+Стр1150⁄10)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1593590</xdr:colOff>
      <xdr:row>11</xdr:row>
      <xdr:rowOff>223874</xdr:rowOff>
    </xdr:from>
    <xdr:ext cx="755400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Величина_ДЗ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Величина_ДЗ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11</xdr:row>
      <xdr:rowOff>231796</xdr:rowOff>
    </xdr:from>
    <xdr:ext cx="574516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Стр1230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Стр1230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1593783</xdr:colOff>
      <xdr:row>12</xdr:row>
      <xdr:rowOff>218007</xdr:rowOff>
    </xdr:from>
    <xdr:ext cx="755015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Величина_КЗ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Величина_КЗ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12</xdr:row>
      <xdr:rowOff>224124</xdr:rowOff>
    </xdr:from>
    <xdr:ext cx="574516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Стр1520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Стр1520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1065145</xdr:colOff>
      <xdr:row>13</xdr:row>
      <xdr:rowOff>212140</xdr:rowOff>
    </xdr:from>
    <xdr:ext cx="1194878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Ден_средства_и_эквиваленты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Краткосрочные_обязательства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Ден_средства_и_эквиваленты)/(Краткосрочные_обязательства)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623916</xdr:colOff>
      <xdr:row>13</xdr:row>
      <xdr:rowOff>190831</xdr:rowOff>
    </xdr:from>
    <xdr:ext cx="339387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Стр1250/Стр1500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971818</xdr:colOff>
      <xdr:row>14</xdr:row>
      <xdr:rowOff>207555</xdr:rowOff>
    </xdr:from>
    <xdr:ext cx="199894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Внеоборотные_активы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Внеоборотные_активы)/(Капитал_и_резервы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14</xdr:row>
      <xdr:rowOff>212756</xdr:rowOff>
    </xdr:from>
    <xdr:ext cx="75924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Стр1100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Стр1100/(Стр1300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+Стр1400)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1535562</xdr:colOff>
      <xdr:row>15</xdr:row>
      <xdr:rowOff>203355</xdr:rowOff>
    </xdr:from>
    <xdr:ext cx="871457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Собственный_капитал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Валюта_баланса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Собственный_капитал)/(Валюта_баланса)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643345</xdr:colOff>
      <xdr:row>15</xdr:row>
      <xdr:rowOff>196801</xdr:rowOff>
    </xdr:from>
    <xdr:ext cx="33938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Стр1300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Стр1300/Стр1700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1207459</xdr:colOff>
      <xdr:row>16</xdr:row>
      <xdr:rowOff>191460</xdr:rowOff>
    </xdr:from>
    <xdr:ext cx="1527662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Предложенная_в_заявке_цена_договора)/(Годовая_выручка)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16</xdr:row>
      <xdr:rowOff>197412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1207459</xdr:colOff>
      <xdr:row>17</xdr:row>
      <xdr:rowOff>184885</xdr:rowOff>
    </xdr:from>
    <xdr:ext cx="1527662" cy="186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Активы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Предложенная_в_заявке_цена_договора)/Активы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17</xdr:row>
      <xdr:rowOff>189035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Стр1600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Цена_договора)/Стр1600</a:t>
              </a:r>
              <a:endParaRPr lang="ru-RU" sz="6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showGridLines="0" tabSelected="1" topLeftCell="A21" zoomScale="125" zoomScaleNormal="85" workbookViewId="0">
      <selection activeCell="D34" sqref="D34"/>
    </sheetView>
  </sheetViews>
  <sheetFormatPr baseColWidth="10" defaultColWidth="8.83203125" defaultRowHeight="15" x14ac:dyDescent="0.2"/>
  <cols>
    <col min="1" max="1" width="3.6640625" customWidth="1"/>
    <col min="2" max="2" width="70.6640625" customWidth="1"/>
    <col min="3" max="5" width="25.6640625" customWidth="1"/>
    <col min="6" max="6" width="7.6640625" hidden="1" customWidth="1"/>
    <col min="7" max="7" width="3.6640625" customWidth="1"/>
  </cols>
  <sheetData>
    <row r="1" spans="2:7" ht="35" customHeight="1" thickBot="1" x14ac:dyDescent="0.25">
      <c r="B1" s="151" t="s">
        <v>116</v>
      </c>
      <c r="C1" s="152"/>
      <c r="D1" s="152"/>
      <c r="E1" s="152"/>
    </row>
    <row r="2" spans="2:7" ht="15" customHeight="1" x14ac:dyDescent="0.2">
      <c r="B2" s="138" t="s">
        <v>23</v>
      </c>
      <c r="C2" s="157" t="s">
        <v>24</v>
      </c>
      <c r="D2" s="158"/>
      <c r="E2" s="159"/>
    </row>
    <row r="3" spans="2:7" ht="37" thickBot="1" x14ac:dyDescent="0.25">
      <c r="B3" s="139"/>
      <c r="C3" s="135" t="s">
        <v>25</v>
      </c>
      <c r="D3" s="6" t="s">
        <v>26</v>
      </c>
      <c r="E3" s="7" t="s">
        <v>27</v>
      </c>
    </row>
    <row r="4" spans="2:7" ht="20" customHeight="1" x14ac:dyDescent="0.2">
      <c r="B4" s="140"/>
      <c r="C4" s="136">
        <v>0.33300000000000002</v>
      </c>
      <c r="D4" s="49">
        <v>0.66700000000000004</v>
      </c>
      <c r="E4" s="50">
        <v>0</v>
      </c>
      <c r="F4" s="53">
        <v>1</v>
      </c>
      <c r="G4" s="14"/>
    </row>
    <row r="5" spans="2:7" ht="20" customHeight="1" thickBot="1" x14ac:dyDescent="0.25">
      <c r="B5" s="141"/>
      <c r="C5" s="137">
        <v>0</v>
      </c>
      <c r="D5" s="51">
        <v>1</v>
      </c>
      <c r="E5" s="52">
        <v>0</v>
      </c>
      <c r="F5" s="14"/>
      <c r="G5" s="14"/>
    </row>
    <row r="6" spans="2:7" ht="30" customHeight="1" x14ac:dyDescent="0.2">
      <c r="C6" s="160" t="str">
        <f>IF(ТипУчастника=1,"","Итоговая оценка в баллах
будет дополнительно уменьшена на 25%")</f>
        <v/>
      </c>
      <c r="D6" s="160"/>
      <c r="E6" s="160"/>
      <c r="F6" s="5">
        <f>IF(ТипУчастника=1,0%,25%)</f>
        <v>0</v>
      </c>
    </row>
    <row r="7" spans="2:7" ht="20" customHeight="1" thickBot="1" x14ac:dyDescent="0.25">
      <c r="D7" s="18" t="s">
        <v>28</v>
      </c>
      <c r="E7" s="18" t="str">
        <f>IF(ТипУчастника=1,"↓Заполнить↓","")</f>
        <v>↓Заполнить↓</v>
      </c>
    </row>
    <row r="8" spans="2:7" ht="60" customHeight="1" x14ac:dyDescent="0.2">
      <c r="B8" s="8" t="s">
        <v>120</v>
      </c>
      <c r="C8" s="9" t="s">
        <v>115</v>
      </c>
      <c r="D8" s="9" t="s">
        <v>18</v>
      </c>
      <c r="E8" s="10" t="s">
        <v>19</v>
      </c>
    </row>
    <row r="9" spans="2:7" ht="16" x14ac:dyDescent="0.2">
      <c r="B9" s="56" t="s">
        <v>0</v>
      </c>
      <c r="C9" s="2"/>
      <c r="D9" s="4"/>
      <c r="E9" s="11"/>
    </row>
    <row r="10" spans="2:7" ht="16" x14ac:dyDescent="0.2">
      <c r="B10" s="17" t="s">
        <v>1</v>
      </c>
      <c r="C10" s="2">
        <v>1150</v>
      </c>
      <c r="D10" s="45"/>
      <c r="E10" s="46"/>
    </row>
    <row r="11" spans="2:7" ht="50" customHeight="1" x14ac:dyDescent="0.2">
      <c r="B11" s="17" t="s">
        <v>121</v>
      </c>
      <c r="C11" s="2" t="s">
        <v>122</v>
      </c>
      <c r="D11" s="45"/>
      <c r="E11" s="46"/>
    </row>
    <row r="12" spans="2:7" ht="16" x14ac:dyDescent="0.2">
      <c r="B12" s="142" t="s">
        <v>2</v>
      </c>
      <c r="C12" s="143">
        <v>1100</v>
      </c>
      <c r="D12" s="148">
        <f>SUM(D10:D11)</f>
        <v>0</v>
      </c>
      <c r="E12" s="149">
        <f>SUM(E10:E11)</f>
        <v>0</v>
      </c>
    </row>
    <row r="13" spans="2:7" ht="16" x14ac:dyDescent="0.2">
      <c r="B13" s="56" t="s">
        <v>3</v>
      </c>
      <c r="C13" s="2"/>
      <c r="D13" s="4"/>
      <c r="E13" s="11"/>
    </row>
    <row r="14" spans="2:7" ht="16" x14ac:dyDescent="0.2">
      <c r="B14" s="17" t="s">
        <v>4</v>
      </c>
      <c r="C14" s="2">
        <v>1230</v>
      </c>
      <c r="D14" s="45"/>
      <c r="E14" s="46"/>
    </row>
    <row r="15" spans="2:7" ht="16" x14ac:dyDescent="0.2">
      <c r="B15" s="17" t="s">
        <v>5</v>
      </c>
      <c r="C15" s="2">
        <v>1250</v>
      </c>
      <c r="D15" s="45"/>
      <c r="E15" s="46"/>
    </row>
    <row r="16" spans="2:7" ht="16" x14ac:dyDescent="0.2">
      <c r="B16" s="15" t="s">
        <v>6</v>
      </c>
      <c r="C16" s="2">
        <v>1600</v>
      </c>
      <c r="D16" s="45"/>
      <c r="E16" s="46"/>
    </row>
    <row r="17" spans="2:5" ht="16" x14ac:dyDescent="0.2">
      <c r="B17" s="56" t="s">
        <v>29</v>
      </c>
      <c r="C17" s="2"/>
      <c r="D17" s="4"/>
      <c r="E17" s="11"/>
    </row>
    <row r="18" spans="2:5" ht="16" x14ac:dyDescent="0.2">
      <c r="B18" s="17" t="s">
        <v>7</v>
      </c>
      <c r="C18" s="2">
        <v>1300</v>
      </c>
      <c r="D18" s="45"/>
      <c r="E18" s="46"/>
    </row>
    <row r="19" spans="2:5" ht="16" x14ac:dyDescent="0.2">
      <c r="B19" s="56" t="s">
        <v>8</v>
      </c>
      <c r="C19" s="2"/>
      <c r="D19" s="4"/>
      <c r="E19" s="11"/>
    </row>
    <row r="20" spans="2:5" ht="16" x14ac:dyDescent="0.2">
      <c r="B20" s="17" t="s">
        <v>9</v>
      </c>
      <c r="C20" s="2">
        <v>1410</v>
      </c>
      <c r="D20" s="45"/>
      <c r="E20" s="46"/>
    </row>
    <row r="21" spans="2:5" ht="16" x14ac:dyDescent="0.2">
      <c r="B21" s="17" t="s">
        <v>123</v>
      </c>
      <c r="C21" s="2" t="s">
        <v>124</v>
      </c>
      <c r="D21" s="45"/>
      <c r="E21" s="46"/>
    </row>
    <row r="22" spans="2:5" ht="16" x14ac:dyDescent="0.2">
      <c r="B22" s="142" t="s">
        <v>10</v>
      </c>
      <c r="C22" s="143">
        <v>1400</v>
      </c>
      <c r="D22" s="148">
        <f>SUM(D20:D21)</f>
        <v>0</v>
      </c>
      <c r="E22" s="149">
        <f>SUM(E20:E21)</f>
        <v>0</v>
      </c>
    </row>
    <row r="23" spans="2:5" ht="16" x14ac:dyDescent="0.2">
      <c r="B23" s="56" t="s">
        <v>11</v>
      </c>
      <c r="C23" s="2"/>
      <c r="D23" s="4"/>
      <c r="E23" s="11"/>
    </row>
    <row r="24" spans="2:5" ht="16" x14ac:dyDescent="0.2">
      <c r="B24" s="17" t="s">
        <v>9</v>
      </c>
      <c r="C24" s="2">
        <v>1510</v>
      </c>
      <c r="D24" s="45"/>
      <c r="E24" s="46"/>
    </row>
    <row r="25" spans="2:5" ht="16" x14ac:dyDescent="0.2">
      <c r="B25" s="17" t="s">
        <v>12</v>
      </c>
      <c r="C25" s="2">
        <v>1520</v>
      </c>
      <c r="D25" s="45"/>
      <c r="E25" s="46"/>
    </row>
    <row r="26" spans="2:5" ht="16" x14ac:dyDescent="0.2">
      <c r="B26" s="17" t="s">
        <v>125</v>
      </c>
      <c r="C26" s="2" t="s">
        <v>126</v>
      </c>
      <c r="D26" s="45"/>
      <c r="E26" s="46"/>
    </row>
    <row r="27" spans="2:5" ht="16" x14ac:dyDescent="0.2">
      <c r="B27" s="142" t="s">
        <v>13</v>
      </c>
      <c r="C27" s="143">
        <v>1500</v>
      </c>
      <c r="D27" s="148">
        <f>SUM(D24:D26)</f>
        <v>0</v>
      </c>
      <c r="E27" s="149">
        <f>SUM(E24:E26)</f>
        <v>0</v>
      </c>
    </row>
    <row r="28" spans="2:5" ht="17" thickBot="1" x14ac:dyDescent="0.25">
      <c r="B28" s="16" t="s">
        <v>6</v>
      </c>
      <c r="C28" s="3">
        <v>1700</v>
      </c>
      <c r="D28" s="47"/>
      <c r="E28" s="48"/>
    </row>
    <row r="29" spans="2:5" ht="16" x14ac:dyDescent="0.2">
      <c r="B29" s="12" t="s">
        <v>14</v>
      </c>
      <c r="C29" s="1" t="s">
        <v>22</v>
      </c>
      <c r="D29" s="1" t="s">
        <v>20</v>
      </c>
      <c r="E29" s="13" t="s">
        <v>21</v>
      </c>
    </row>
    <row r="30" spans="2:5" ht="16" x14ac:dyDescent="0.2">
      <c r="B30" s="17" t="s">
        <v>15</v>
      </c>
      <c r="C30" s="2">
        <v>2110</v>
      </c>
      <c r="D30" s="45"/>
      <c r="E30" s="46"/>
    </row>
    <row r="31" spans="2:5" ht="16" x14ac:dyDescent="0.2">
      <c r="B31" s="17" t="s">
        <v>16</v>
      </c>
      <c r="C31" s="2" t="s">
        <v>104</v>
      </c>
      <c r="D31" s="45"/>
      <c r="E31" s="46"/>
    </row>
    <row r="32" spans="2:5" ht="17" thickBot="1" x14ac:dyDescent="0.25">
      <c r="B32" s="144" t="s">
        <v>17</v>
      </c>
      <c r="C32" s="145">
        <v>2300</v>
      </c>
      <c r="D32" s="146">
        <f>SUM(D33:D34)</f>
        <v>0</v>
      </c>
      <c r="E32" s="147">
        <f>SUM(E33:E34)</f>
        <v>0</v>
      </c>
    </row>
    <row r="33" spans="2:6" ht="49" thickBot="1" x14ac:dyDescent="0.25">
      <c r="B33" s="21" t="s">
        <v>127</v>
      </c>
      <c r="C33" s="3" t="s">
        <v>128</v>
      </c>
      <c r="D33" s="47"/>
      <c r="E33" s="48"/>
    </row>
    <row r="34" spans="2:6" ht="17" thickBot="1" x14ac:dyDescent="0.25">
      <c r="B34" s="21" t="s">
        <v>129</v>
      </c>
      <c r="C34" s="3" t="s">
        <v>130</v>
      </c>
      <c r="D34" s="47"/>
      <c r="E34" s="48"/>
    </row>
    <row r="35" spans="2:6" ht="39" customHeight="1" x14ac:dyDescent="0.2">
      <c r="B35" s="163" t="s">
        <v>119</v>
      </c>
      <c r="C35" s="164"/>
      <c r="D35" s="161"/>
      <c r="E35" s="162"/>
    </row>
    <row r="36" spans="2:6" ht="30" customHeight="1" thickBot="1" x14ac:dyDescent="0.25">
      <c r="B36" s="153" t="s">
        <v>101</v>
      </c>
      <c r="C36" s="154"/>
      <c r="D36" s="155"/>
      <c r="E36" s="156"/>
      <c r="F36" s="63">
        <v>2</v>
      </c>
    </row>
    <row r="37" spans="2:6" x14ac:dyDescent="0.2">
      <c r="F37" t="s">
        <v>103</v>
      </c>
    </row>
    <row r="38" spans="2:6" ht="33" customHeight="1" x14ac:dyDescent="0.2">
      <c r="B38" s="150" t="s">
        <v>117</v>
      </c>
      <c r="C38" s="150"/>
      <c r="D38" s="150"/>
      <c r="E38" s="150"/>
      <c r="F38" t="s">
        <v>102</v>
      </c>
    </row>
  </sheetData>
  <sheetProtection algorithmName="SHA-512" hashValue="9+JBCTJq0c+QoDc7wA7vaDkCVIAJCDvxJ3KAWQLH7j4DwLQrULT7XQgBXkd9aPLei2m2XnNPFLocJymCrjtLIg==" saltValue="UfIW3agVJJwgYaffyWTmqQ==" spinCount="100000" sheet="1" formatCells="0" formatColumns="0" formatRows="0"/>
  <mergeCells count="8">
    <mergeCell ref="B38:E38"/>
    <mergeCell ref="B1:E1"/>
    <mergeCell ref="B36:C36"/>
    <mergeCell ref="D36:E36"/>
    <mergeCell ref="C2:E2"/>
    <mergeCell ref="C6:E6"/>
    <mergeCell ref="D35:E35"/>
    <mergeCell ref="B35:C35"/>
  </mergeCells>
  <dataValidations count="7">
    <dataValidation type="whole" allowBlank="1" showInputMessage="1" showErrorMessage="1" errorTitle="Ошибка!" error="Введено не целое число." promptTitle="Внимание!" prompt="Допускается ввод только целых чисел." sqref="D14:E16 D18:E18 D10:E11 D20:E21 D28:E28 D24:E26 D30:E31 D34 E34" xr:uid="{00000000-0002-0000-0000-000000000000}">
      <formula1>-1000000000000</formula1>
      <formula2>1000000000000</formula2>
    </dataValidation>
    <dataValidation type="decimal" allowBlank="1" showInputMessage="1" showErrorMessage="1" errorTitle="Ошибка!" error="Введено значение, отличное от числового формата" promptTitle="Внимание!" prompt="Ввод дробной части допускается только через запятую." sqref="D35:E35" xr:uid="{00000000-0002-0000-0000-000001000000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_x000a_" sqref="D12" xr:uid="{E84D07DE-F9D8-3A47-A55C-C5968E90CAA5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" sqref="E12 D22:E22 D27:E27 E32" xr:uid="{A5BE323B-BE97-1C4A-809A-A846C361C038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." sqref="D32" xr:uid="{E4457724-6B7A-5348-B7DF-5B827BFA1D05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Допускается ввод только целых чисел без знака &quot;-&quot; (минус)_x000a_" sqref="D33" xr:uid="{335AF70E-D1A0-904B-A4B7-77377B8F40BA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Допускается ввод только целых чисел без знака &quot;-&quot; (минус)" sqref="E33" xr:uid="{C079286A-7A89-074A-9EC0-15723C1DD73E}">
      <formula1>-1000000000000</formula1>
      <formula2>1000000000000</formula2>
    </dataValidation>
  </dataValidations>
  <pageMargins left="0.25" right="0.25" top="0.75" bottom="0.75" header="0.3" footer="0.3"/>
  <pageSetup paperSize="9" scale="65" orientation="portrait" r:id="rId1"/>
  <ignoredErrors>
    <ignoredError sqref="C3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0</xdr:rowOff>
                  </from>
                  <to>
                    <xdr:col>1</xdr:col>
                    <xdr:colOff>4241800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0</xdr:rowOff>
                  </from>
                  <to>
                    <xdr:col>1</xdr:col>
                    <xdr:colOff>4241800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List Box 7">
              <controlPr locked="0" defaultSize="0" autoLine="0" autoPict="0">
                <anchor moveWithCells="1">
                  <from>
                    <xdr:col>3</xdr:col>
                    <xdr:colOff>762000</xdr:colOff>
                    <xdr:row>35</xdr:row>
                    <xdr:rowOff>50800</xdr:rowOff>
                  </from>
                  <to>
                    <xdr:col>4</xdr:col>
                    <xdr:colOff>101600</xdr:colOff>
                    <xdr:row>35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8"/>
  <sheetViews>
    <sheetView showGridLines="0" topLeftCell="F12" zoomScale="185" zoomScaleNormal="85" workbookViewId="0">
      <selection activeCell="M14" sqref="M14"/>
    </sheetView>
  </sheetViews>
  <sheetFormatPr baseColWidth="10" defaultColWidth="8.83203125" defaultRowHeight="15" x14ac:dyDescent="0.2"/>
  <cols>
    <col min="1" max="1" width="3.6640625" customWidth="1"/>
    <col min="2" max="4" width="35.6640625" style="19" customWidth="1"/>
    <col min="5" max="5" width="9.33203125" customWidth="1"/>
    <col min="6" max="7" width="7.6640625" customWidth="1"/>
    <col min="8" max="8" width="25.6640625" customWidth="1"/>
    <col min="9" max="9" width="0.83203125" customWidth="1"/>
    <col min="10" max="11" width="15.6640625" customWidth="1"/>
    <col min="12" max="12" width="0.83203125" customWidth="1"/>
    <col min="13" max="14" width="15.6640625" customWidth="1"/>
    <col min="15" max="15" width="0.83203125" customWidth="1"/>
    <col min="16" max="16" width="15.6640625" customWidth="1"/>
    <col min="17" max="17" width="0.83203125" customWidth="1"/>
    <col min="18" max="18" width="15.6640625" customWidth="1"/>
    <col min="19" max="20" width="3.6640625" customWidth="1"/>
  </cols>
  <sheetData>
    <row r="1" spans="2:20" ht="16" thickBot="1" x14ac:dyDescent="0.25"/>
    <row r="2" spans="2:20" ht="35" customHeight="1" x14ac:dyDescent="0.2">
      <c r="B2" s="54" t="s">
        <v>98</v>
      </c>
      <c r="C2" s="165">
        <f>ROUND(IF(ТипУчастника=1,AVERAGE(R9:R18),AVERAGE(R9:R18)-AVERAGE(R9:R18)*Регресс),2)</f>
        <v>0</v>
      </c>
      <c r="D2" s="166"/>
      <c r="M2" s="129" t="s">
        <v>109</v>
      </c>
      <c r="N2" s="130">
        <v>15</v>
      </c>
    </row>
    <row r="3" spans="2:20" ht="20" customHeight="1" x14ac:dyDescent="0.2">
      <c r="B3" s="39" t="str">
        <f>IF(БаллИтог&lt;0.45,"↓ ↓ ↓","")</f>
        <v>↓ ↓ ↓</v>
      </c>
      <c r="C3" s="40" t="str">
        <f>IF(AND(БаллИтог&gt;=0.45,БаллИтог&lt;=0.9),"↓ ↓ ↓","")</f>
        <v/>
      </c>
      <c r="D3" s="41" t="str">
        <f>IF(БаллИтог&gt;0.9,"↓ ↓ ↓","")</f>
        <v/>
      </c>
      <c r="M3" s="129" t="s">
        <v>110</v>
      </c>
      <c r="N3" s="130">
        <v>15</v>
      </c>
    </row>
    <row r="4" spans="2:20" ht="55" customHeight="1" x14ac:dyDescent="0.2">
      <c r="B4" s="42" t="s">
        <v>95</v>
      </c>
      <c r="C4" s="43" t="s">
        <v>96</v>
      </c>
      <c r="D4" s="44" t="s">
        <v>97</v>
      </c>
      <c r="M4" s="129" t="s">
        <v>111</v>
      </c>
      <c r="N4" s="130">
        <v>15</v>
      </c>
    </row>
    <row r="5" spans="2:20" ht="25" customHeight="1" thickBot="1" x14ac:dyDescent="0.25">
      <c r="B5" s="178" t="str">
        <f>IF(ТипУчастника=1,"","Итоговая оценка в баллах ("&amp;ROUND(SUM(R9:R18)/COUNT(R9:R18),2)&amp;") дополнительно уменьшена на 25% (Тип "&amp;ТипУчастника&amp;" участника)")</f>
        <v/>
      </c>
      <c r="C5" s="179"/>
      <c r="D5" s="180"/>
    </row>
    <row r="6" spans="2:20" ht="10" customHeight="1" thickBot="1" x14ac:dyDescent="0.25">
      <c r="B6" s="20"/>
      <c r="C6" s="20"/>
      <c r="D6" s="20"/>
    </row>
    <row r="7" spans="2:20" ht="25" customHeight="1" x14ac:dyDescent="0.2">
      <c r="B7" s="175" t="s">
        <v>40</v>
      </c>
      <c r="C7" s="171" t="s">
        <v>41</v>
      </c>
      <c r="D7" s="171" t="s">
        <v>42</v>
      </c>
      <c r="E7" s="171"/>
      <c r="F7" s="171"/>
      <c r="G7" s="171"/>
      <c r="H7" s="173"/>
      <c r="J7" s="175" t="s">
        <v>53</v>
      </c>
      <c r="K7" s="173"/>
      <c r="M7" s="181" t="s">
        <v>54</v>
      </c>
      <c r="N7" s="182"/>
      <c r="P7" s="183" t="s">
        <v>100</v>
      </c>
      <c r="R7" s="176" t="s">
        <v>94</v>
      </c>
    </row>
    <row r="8" spans="2:20" ht="70" customHeight="1" thickBot="1" x14ac:dyDescent="0.25">
      <c r="B8" s="185"/>
      <c r="C8" s="172"/>
      <c r="D8" s="172"/>
      <c r="E8" s="172"/>
      <c r="F8" s="172"/>
      <c r="G8" s="172"/>
      <c r="H8" s="174"/>
      <c r="J8" s="55" t="s">
        <v>105</v>
      </c>
      <c r="K8" s="7" t="s">
        <v>99</v>
      </c>
      <c r="M8" s="55" t="s">
        <v>105</v>
      </c>
      <c r="N8" s="7" t="s">
        <v>99</v>
      </c>
      <c r="P8" s="184"/>
      <c r="R8" s="177"/>
    </row>
    <row r="9" spans="2:20" ht="45" customHeight="1" x14ac:dyDescent="0.2">
      <c r="B9" s="105" t="s">
        <v>43</v>
      </c>
      <c r="C9" s="106" t="s">
        <v>106</v>
      </c>
      <c r="D9" s="170"/>
      <c r="E9" s="170"/>
      <c r="F9" s="170"/>
      <c r="G9" s="170"/>
      <c r="H9" s="107"/>
      <c r="J9" s="77">
        <f>IFERROR(((Стр1400+Стр1500)/Стр1700)*100,1000)</f>
        <v>1000</v>
      </c>
      <c r="K9" s="78">
        <f xml:space="preserve">
IF(ТипУчастника=1,ФП01*Тип1Вес2,
IF(ТипУчастника=2,ФП01*Тип2Вес2
))</f>
        <v>667</v>
      </c>
      <c r="L9" s="64"/>
      <c r="M9" s="77">
        <f>IFERROR(IF(ТипУчастника=1,((Стр1400пр+Стр1500пр)/Стр1700пр)*100,"–//–"),1000)</f>
        <v>1000</v>
      </c>
      <c r="N9" s="78">
        <f>IF(ТипУчастника=1,ФП01пр*Тип1Вес1,"–//–")</f>
        <v>333</v>
      </c>
      <c r="O9" s="64"/>
      <c r="P9" s="79">
        <f>IF(ТипУчастника=1,ROUND(ФП01Коэф+ФП01прКоэф,Округл1),ROUND(ФП01Коэф,Округл1))</f>
        <v>1000</v>
      </c>
      <c r="Q9" s="64"/>
      <c r="R9" s="80">
        <f xml:space="preserve">
IF(ФП01Уср&gt;ФП01П01,0,
IF(AND(ФП01Уср&gt;ФП01П02,ФП01Уср&lt;=ФП01П03),0.1,
IF(AND(ФП01Уср&gt;ФП01П04,ФП01Уср&lt;=ФП01П05),0.2,
IF(AND(ФП01Уср&gt;ФП01П06,ФП01Уср&lt;=ФП01П07),0.3,
IF(AND(ФП01Уср&gt;ФП01П08,ФП01Уср&lt;=ФП01П09),0.4,
IF(AND(ФП01Уср&gt;ФП01П10,ФП01Уср&lt;=ФП01П11),0.5,
IF(AND(ФП01Уср&gt;ФП01П12,ФП01Уср&lt;=ФП01П13),0.6,
IF(AND(ФП01Уср&gt;ФП01П14,ФП01Уср&lt;=ФП01П15),0.7,
IF(AND(ФП01Уср&gt;ФП01П16,ФП01Уср&lt;=ФП01П17),0.8,
IF(AND(ФП01Уср&gt;ФП01П18,ФП01Уср&lt;=ФП01П19),0.9,
IF(ФП01Уср&lt;=ФП01П20,1
)))))))))))</f>
        <v>0</v>
      </c>
      <c r="S9" s="131" t="s">
        <v>84</v>
      </c>
    </row>
    <row r="10" spans="2:20" ht="45" customHeight="1" x14ac:dyDescent="0.2">
      <c r="B10" s="108" t="s">
        <v>44</v>
      </c>
      <c r="C10" s="109" t="s">
        <v>112</v>
      </c>
      <c r="D10" s="169"/>
      <c r="E10" s="169"/>
      <c r="F10" s="169"/>
      <c r="G10" s="169"/>
      <c r="H10" s="110"/>
      <c r="J10" s="57">
        <f>IFERROR(((Стр2300+ABS(Стр2330))*(1-0.2)/(Стр1300+Стр1410))*100,-1000)</f>
        <v>-1000</v>
      </c>
      <c r="K10" s="58">
        <f xml:space="preserve">
IF(ТипУчастника=1,ФП02*Тип1Вес2,
IF(ТипУчастника=2,ФП02*Тип2Вес2))</f>
        <v>-667</v>
      </c>
      <c r="M10" s="57">
        <f>IFERROR(IF(ТипУчастника=1,((Стр2300пр+ABS(Стр2330пр))*(1-0.2)/(Стр1300пр+Стр1410пр))*100,"–//–"),-1000)</f>
        <v>-1000</v>
      </c>
      <c r="N10" s="58">
        <f>IF(ТипУчастника=1,ФП02пр*Тип1Вес1,"–//–")</f>
        <v>-333</v>
      </c>
      <c r="P10" s="59">
        <f>IF(ТипУчастника=1,ROUND(ФП02Коэф+ФП02прКоэф,Округл1),ROUND(ФП02Коэф,Округл1))</f>
        <v>-1000</v>
      </c>
      <c r="R10" s="62">
        <f xml:space="preserve">
IF(ФП02Уср&lt;ФП02П01,0,
IF(AND(ФП02Уср&gt;=ФП02П02,ФП02Уср&lt;ФП02П03),0.1,
IF(AND(ФП02Уср&gt;=ФП02П04,ФП02Уср&lt;ФП02П05),0.2,
IF(AND(ФП02Уср&gt;=ФП02П06,ФП02Уср&lt;ФП02П07),0.3,
IF(AND(ФП02Уср&gt;=ФП02П08,ФП02Уср&lt;ФП02П09),0.4,
IF(AND(ФП02Уср&gt;=ФП02П10,ФП02Уср&lt;ФП02П11),0.5,
IF(AND(ФП02Уср&gt;=ФП02П12,ФП02Уср&lt;ФП02П13),0.6,
IF(AND(ФП02Уср&gt;=ФП02П14,ФП02Уср&lt;ФП02П15),0.7,
IF(AND(ФП02Уср&gt;=ФП02П16,ФП02Уср&lt;ФП02П17),0.8,
IF(AND(ФП02Уср&gt;=ФП02П18,ФП02Уср&lt;ФП02П19),0.9,
IF(ФП02Уср&gt;=ФП02П20,1
)))))))))))</f>
        <v>0</v>
      </c>
      <c r="S10" s="131" t="s">
        <v>85</v>
      </c>
    </row>
    <row r="11" spans="2:20" ht="45" customHeight="1" x14ac:dyDescent="0.2">
      <c r="B11" s="108" t="s">
        <v>45</v>
      </c>
      <c r="C11" s="109" t="s">
        <v>32</v>
      </c>
      <c r="D11" s="169"/>
      <c r="E11" s="169"/>
      <c r="F11" s="169"/>
      <c r="G11" s="169"/>
      <c r="H11" s="110"/>
      <c r="J11" s="57">
        <f>IFERROR(((Стр1410+Стр1510)-Стр1250)/(Стр2300+ABS(Стр2330)+Стр1150/10),1000)</f>
        <v>1000</v>
      </c>
      <c r="K11" s="58">
        <f xml:space="preserve">
IF(ТипУчастника=1,ФП03*Тип1Вес2,
IF(ТипУчастника=2,ФП03*Тип2Вес2))</f>
        <v>667</v>
      </c>
      <c r="M11" s="57">
        <f>IFERROR(IF(ТипУчастника=1,((Стр1410пр+Стр1510пр)-Стр1250пр)/(Стр2300пр+ABS(Стр2330пр)+Стр1150пр/10),"–//–"),1000)</f>
        <v>1000</v>
      </c>
      <c r="N11" s="58">
        <f>IF(ТипУчастника=1,ФП03пр*Тип1Вес1,"–//–")</f>
        <v>333</v>
      </c>
      <c r="P11" s="61">
        <f>IF(ТипУчастника=1,ROUND(ФП03Коэф+ФП03прКоэф,Округл0),ROUND(ФП03Коэф,Округл0))</f>
        <v>1000</v>
      </c>
      <c r="R11" s="62">
        <f xml:space="preserve">
IF(ФП03Уср&gt;ФП03П01,0,
IF(AND(ФП03Уср&gt;ФП03П02,ФП03Уср&lt;=ФП03П03),0.1,
IF(AND(ФП03Уср&gt;ФП03П04,ФП03Уср&lt;=ФП03П05),0.2,
IF(AND(ФП03Уср&gt;ФП03П06,ФП03Уср&lt;=ФП03П07),0.3,
IF(AND(ФП03Уср&gt;ФП03П08,ФП03Уср&lt;=ФП03П09),0.4,
IF(AND(ФП03Уср&gt;ФП03П10,ФП03Уср&lt;=ФП03П11),0.5,
IF(AND(ФП03Уср&gt;ФП03П12,ФП03Уср&lt;=ФП03П13),0.6,
IF(AND(ФП03Уср&gt;ФП03П14,ФП03Уср&lt;=ФП03П15),0.7,
IF(AND(ФП03Уср&gt;ФП03П16,ФП03Уср&lt;=ФП03П17),0.8,
IF(AND(ФП03Уср&gt;ФП03П18,ФП03Уср&lt;=ФП03П19),0.9,
IF(ФП03Уср&lt;=ФП03П20,1
)))))))))))</f>
        <v>0</v>
      </c>
      <c r="S11" s="131" t="s">
        <v>86</v>
      </c>
    </row>
    <row r="12" spans="2:20" s="64" customFormat="1" ht="45" customHeight="1" x14ac:dyDescent="0.2">
      <c r="B12" s="111" t="s">
        <v>46</v>
      </c>
      <c r="C12" s="112" t="s">
        <v>33</v>
      </c>
      <c r="D12" s="168"/>
      <c r="E12" s="168"/>
      <c r="F12" s="168"/>
      <c r="G12" s="168"/>
      <c r="H12" s="113"/>
      <c r="J12" s="65">
        <f>IFERROR((Стр1230*360)/Стр2110,1000)</f>
        <v>1000</v>
      </c>
      <c r="K12" s="66">
        <f xml:space="preserve">
IF(ТипУчастника=1,ФП04*Тип1Вес2,
IF(ТипУчастника=2,ФП04*Тип2Вес2))</f>
        <v>667</v>
      </c>
      <c r="M12" s="65">
        <f>IFERROR(IF(ТипУчастника=1,(Стр1230пр*360)/Стр2110пр,"–//–"),1000)</f>
        <v>1000</v>
      </c>
      <c r="N12" s="66">
        <f>IF(ТипУчастника=1,ФП04пр*Тип1Вес1,"–//–")</f>
        <v>333</v>
      </c>
      <c r="P12" s="73">
        <f>IF(ТипУчастника=1,ROUND(ФП04Коэф+ФП04прКоэф,Округл0),ROUND(ФП04Коэф,Округл0))</f>
        <v>1000</v>
      </c>
      <c r="R12" s="68">
        <f xml:space="preserve">
IF(ФП04Уср&gt;ФП04П01,0,
IF(AND(ФП04Уср&gt;ФП04П02,ФП04Уср&lt;=ФП04П03),0.1,
IF(AND(ФП04Уср&gt;ФП04П04,ФП04Уср&lt;=ФП04П05),0.2,
IF(AND(ФП04Уср&gt;ФП04П06,ФП04Уср&lt;=ФП04П07),0.3,
IF(AND(ФП04Уср&gt;ФП04П08,ФП04Уср&lt;=ФП04П09),0.4,
IF(AND(ФП04Уср&gt;ФП04П10,ФП04Уср&lt;=ФП04П11),0.5,
IF(AND(ФП04Уср&gt;ФП04П12,ФП04Уср&lt;=ФП04П13),0.6,
IF(AND(ФП04Уср&gt;ФП04П14,ФП04Уср&lt;=ФП04П15),0.7,
IF(AND(ФП04Уср&gt;ФП04П16,ФП04Уср&lt;=ФП04П17),0.8,
IF(AND(ФП04Уср&gt;ФП04П18,ФП04Уср&lt;=ФП04П19),0.9,
IF(ФП04Уср&lt;=ФП04П20,1
)))))))))))</f>
        <v>0</v>
      </c>
      <c r="S12" s="131" t="s">
        <v>87</v>
      </c>
    </row>
    <row r="13" spans="2:20" s="64" customFormat="1" ht="45" customHeight="1" x14ac:dyDescent="0.2">
      <c r="B13" s="111" t="s">
        <v>47</v>
      </c>
      <c r="C13" s="112" t="s">
        <v>107</v>
      </c>
      <c r="D13" s="168"/>
      <c r="E13" s="168"/>
      <c r="F13" s="168"/>
      <c r="G13" s="168"/>
      <c r="H13" s="113"/>
      <c r="J13" s="65">
        <f>IFERROR((Стр1520*360)/Стр2110,1000)</f>
        <v>1000</v>
      </c>
      <c r="K13" s="66">
        <f xml:space="preserve">
IF(ТипУчастника=1,ФП05*Тип1Вес2,
IF(ТипУчастника=2,ФП05*Тип2Вес2))</f>
        <v>667</v>
      </c>
      <c r="M13" s="65">
        <f>IFERROR(IF(ТипУчастника=1,(Стр1520пр*360)/Стр2110пр,"–//–"),1000)</f>
        <v>1000</v>
      </c>
      <c r="N13" s="66">
        <f>IF(ТипУчастника=1,ФП05пр*Тип1Вес1,"–//–")</f>
        <v>333</v>
      </c>
      <c r="P13" s="73">
        <f>IF(ТипУчастника=1,ROUND(ФП05Коэф+ФП05прКоэф,Округл0),ROUND(ФП05Коэф,Округл0))</f>
        <v>1000</v>
      </c>
      <c r="R13" s="68">
        <f xml:space="preserve">
IF(ФП05Уср&gt;ФП05П01,0,
IF(AND(ФП05Уср&gt;ФП05П02,ФП05Уср&lt;=ФП05П03),0.1,
IF(AND(ФП05Уср&gt;ФП05П04,ФП05Уср&lt;=ФП05П05),0.2,
IF(AND(ФП05Уср&gt;ФП05П06,ФП05Уср&lt;=ФП05П07),0.3,
IF(AND(ФП05Уср&gt;ФП05П08,ФП05Уср&lt;=ФП05П09),0.4,
IF(AND(ФП05Уср&gt;ФП05П10,ФП05Уср&lt;=ФП05П11),0.5,
IF(AND(ФП05Уср&gt;ФП05П12,ФП05Уср&lt;=ФП05П13),0.6,
IF(AND(ФП05Уср&gt;ФП05П14,ФП05Уср&lt;=ФП05П15),0.7,
IF(AND(ФП05Уср&gt;ФП05П16,ФП05Уср&lt;=ФП05П17),0.8,
IF(AND(ФП05Уср&gt;ФП05П18,ФП05Уср&lt;=ФП05П19),0.9,
IF(ФП05Уср&lt;=ФП05П20,1
)))))))))))</f>
        <v>0</v>
      </c>
      <c r="S13" s="131" t="s">
        <v>88</v>
      </c>
    </row>
    <row r="14" spans="2:20" ht="45" customHeight="1" x14ac:dyDescent="0.2">
      <c r="B14" s="108" t="s">
        <v>48</v>
      </c>
      <c r="C14" s="109" t="s">
        <v>35</v>
      </c>
      <c r="D14" s="169"/>
      <c r="E14" s="169"/>
      <c r="F14" s="169"/>
      <c r="G14" s="169"/>
      <c r="H14" s="110" t="s">
        <v>118</v>
      </c>
      <c r="J14" s="57">
        <f>IFERROR((Стр1250)/Стр1500,-1000)</f>
        <v>-1000</v>
      </c>
      <c r="K14" s="58">
        <f xml:space="preserve">
IF(ТипУчастника=1,ФП06*Тип1Вес2,
IF(ТипУчастника=2,ФП06*Тип2Вес2))</f>
        <v>-667</v>
      </c>
      <c r="M14" s="57">
        <f>IFERROR(IF(ТипУчастника=1,(Стр1250пр)/Стр1500пр,"–//–"),-1000)</f>
        <v>-1000</v>
      </c>
      <c r="N14" s="58">
        <f>IF(ТипУчастника=1,ФП06пр*Тип1Вес1,"–//–")</f>
        <v>-333</v>
      </c>
      <c r="P14" s="60">
        <f>IF(ТипУчастника=1,ROUND(ФП06Коэф+ФП06прКоэф,Округл2),ROUND(ФП06Коэф,Округл2))</f>
        <v>-1000</v>
      </c>
      <c r="R14" s="62">
        <f xml:space="preserve">
IF(ФП06Уср&lt;ФП06П01,0,
IF(AND(ФП06Уср&gt;=ФП06П02,ФП06Уср&lt;ФП06П03),0.1,
IF(AND(ФП06Уср&gt;=ФП06П04,ФП06Уср&lt;ФП06П05),0.2,
IF(AND(ФП06Уср&gt;=ФП06П06,ФП06Уср&lt;ФП06П07),0.3,
IF(AND(ФП06Уср&gt;=ФП06П08,ФП06Уср&lt;ФП06П09),0.4,
IF(AND(ФП06Уср&gt;=ФП06П10,ФП06Уср&lt;ФП06П11),0.5,
IF(AND(ФП06Уср&gt;=ФП06П12,ФП06Уср&lt;ФП06П13),0.6,
IF(AND(ФП06Уср&gt;=ФП06П14,ФП06Уср&lt;ФП06П15),0.7,
IF(AND(ФП06Уср&gt;=ФП06П16,ФП06Уср&lt;ФП06П17),0.8,
IF(AND(ФП06Уср&gt;=ФП06П18,ФП06Уср&lt;ФП06П19),0.9,
IF(ФП06Уср&gt;=ФП06П20,1
)))))))))))</f>
        <v>0</v>
      </c>
      <c r="S14" s="131" t="s">
        <v>89</v>
      </c>
    </row>
    <row r="15" spans="2:20" ht="45" customHeight="1" x14ac:dyDescent="0.2">
      <c r="B15" s="108" t="s">
        <v>49</v>
      </c>
      <c r="C15" s="109" t="s">
        <v>36</v>
      </c>
      <c r="D15" s="169"/>
      <c r="E15" s="169"/>
      <c r="F15" s="169"/>
      <c r="G15" s="169"/>
      <c r="H15" s="110"/>
      <c r="J15" s="57">
        <f>IFERROR(Стр1100/(Стр1300+Стр1400),1000)</f>
        <v>1000</v>
      </c>
      <c r="K15" s="58">
        <f xml:space="preserve">
IF(ТипУчастника=1,ФП07*Тип1Вес2,
IF(ТипУчастника=2,ФП07*Тип2Вес2))</f>
        <v>667</v>
      </c>
      <c r="M15" s="57">
        <f>IFERROR(IF(ТипУчастника=1,Стр1100пр/(Стр1300пр+Стр1400пр),"–//–"),1000)</f>
        <v>1000</v>
      </c>
      <c r="N15" s="58">
        <f>IF(ТипУчастника=1,ФП07пр*Тип1Вес1,"–//–")</f>
        <v>333</v>
      </c>
      <c r="P15" s="59">
        <f>IF(ТипУчастника=1,ROUND(ФП07Коэф+ФП07прКоэф,Округл1),ROUND(ФП07Коэф,Округл1))</f>
        <v>1000</v>
      </c>
      <c r="R15" s="62">
        <f xml:space="preserve">
IF(ФП07Уср&gt;ФП07П01,0,
IF(AND(ФП07Уср&gt;ФП07П02,ФП07Уср&lt;=ФП07П03),0.1,
IF(AND(ФП07Уср&gt;ФП07П04,ФП07Уср&lt;=ФП07П05),0.2,
IF(AND(ФП07Уср&gt;ФП07П06,ФП07Уср&lt;=ФП07П07),0.3,
IF(AND(ФП07Уср&gt;ФП07П08,ФП07Уср&lt;=ФП07П09),0.4,
IF(AND(ФП07Уср&gt;ФП07П10,ФП07Уср&lt;=ФП07П11),0.5,
IF(AND(ФП07Уср&gt;ФП07П12,ФП07Уср&lt;=ФП07П13),0.6,
IF(AND(ФП07Уср&gt;ФП07П14,ФП07Уср&lt;=ФП07П15),0.7,
IF(AND(ФП07Уср&gt;ФП07П16,ФП07Уср&lt;=ФП07П17),0.8,
IF(AND(ФП07Уср&gt;ФП07П18,ФП07Уср&lt;=ФП07П19),0.9,
IF(ФП07Уср&lt;=ФП07П20,1
)))))))))))</f>
        <v>0</v>
      </c>
      <c r="S15" s="131" t="s">
        <v>90</v>
      </c>
      <c r="T15" s="38"/>
    </row>
    <row r="16" spans="2:20" ht="45" customHeight="1" x14ac:dyDescent="0.2">
      <c r="B16" s="111" t="s">
        <v>50</v>
      </c>
      <c r="C16" s="112" t="s">
        <v>108</v>
      </c>
      <c r="D16" s="168"/>
      <c r="E16" s="168"/>
      <c r="F16" s="168"/>
      <c r="G16" s="168"/>
      <c r="H16" s="113"/>
      <c r="J16" s="65">
        <f>IFERROR(Стр1300/Стр1700,-1000)</f>
        <v>-1000</v>
      </c>
      <c r="K16" s="66">
        <f xml:space="preserve">
IF(ТипУчастника=1,ФП08*Тип1Вес2,
IF(ТипУчастника=2,ФП08*Тип2Вес2))</f>
        <v>-667</v>
      </c>
      <c r="L16" s="64"/>
      <c r="M16" s="65">
        <f>IFERROR(IF(ТипУчастника=1,Стр1300пр/Стр1700пр,"–//–"),-1000)</f>
        <v>-1000</v>
      </c>
      <c r="N16" s="66">
        <f>IF(ТипУчастника=1,ФП08пр*Тип1Вес1,"–//–")</f>
        <v>-333</v>
      </c>
      <c r="O16" s="64"/>
      <c r="P16" s="67">
        <f>IF(ТипУчастника=1,ROUND(ФП08Коэф+ФП08прКоэф,Округл2),ROUND(ФП08Коэф,Округл2))</f>
        <v>-1000</v>
      </c>
      <c r="Q16" s="64"/>
      <c r="R16" s="68">
        <f xml:space="preserve">
IF(ФП08Уср&lt;ФП08П01,0,
IF(AND(ФП08Уср&gt;=ФП08П02,ФП08Уср&lt;ФП08П03),0.1,
IF(AND(ФП08Уср&gt;=ФП08П04,ФП08Уср&lt;ФП08П05),0.2,
IF(AND(ФП08Уср&gt;=ФП08П06,ФП08Уср&lt;ФП08П07),0.3,
IF(AND(ФП08Уср&gt;=ФП08П08,ФП08Уср&lt;ФП08П09),0.4,
IF(AND(ФП08Уср&gt;=ФП08П10,ФП08Уср&lt;ФП08П11),0.5,
IF(AND(ФП08Уср&gt;=ФП08П12,ФП08Уср&lt;ФП08П13),0.6,
IF(AND(ФП08Уср&gt;=ФП08П14,ФП08Уср&lt;ФП08П15),0.7,
IF(AND(ФП08Уср&gt;=ФП08П16,ФП08Уср&lt;ФП08П17),0.8,
IF(AND(ФП08Уср&gt;=ФП08П18,ФП08Уср&lt;ФП08П19),0.9,
IF(ФП08Уср&gt;=ФП08П20,1
)))))))))))</f>
        <v>0</v>
      </c>
      <c r="S16" s="131" t="s">
        <v>91</v>
      </c>
    </row>
    <row r="17" spans="2:19" s="64" customFormat="1" ht="45" customHeight="1" x14ac:dyDescent="0.2">
      <c r="B17" s="111" t="s">
        <v>51</v>
      </c>
      <c r="C17" s="112" t="s">
        <v>113</v>
      </c>
      <c r="D17" s="168"/>
      <c r="E17" s="168"/>
      <c r="F17" s="168"/>
      <c r="G17" s="168"/>
      <c r="H17" s="113"/>
      <c r="J17" s="65">
        <f>IFERROR(IF(ИзмББ=1,(ЦЕНА/1000)/Стр2110,(ЦЕНА/1000000)/Стр2110),1000)</f>
        <v>1000</v>
      </c>
      <c r="K17" s="66">
        <f xml:space="preserve">
IF(ТипУчастника=1,ФП09*Тип1Вес2,
IF(ТипУчастника=2,ФП09*Тип2Вес2))</f>
        <v>667</v>
      </c>
      <c r="M17" s="65">
        <f>IFERROR(IF(AND(ТипУчастника=1,ИзмББ=1),(ЦЕНА/1000)/Стр2110пр,IF(AND(ТипУчастника=1,ИзмББ=2),(ЦЕНА/1000000)/Стр2110пр,"–//–")),1000)</f>
        <v>1000</v>
      </c>
      <c r="N17" s="66">
        <f>IF(ТипУчастника=1,ФП09пр*Тип1Вес1,"–//–")</f>
        <v>333</v>
      </c>
      <c r="P17" s="67">
        <f>IF(ТипУчастника=1,ROUND(ФП09Коэф+ФП09прКоэф,Округл2),ROUND(ФП09Коэф,Округл2))</f>
        <v>1000</v>
      </c>
      <c r="R17" s="68">
        <f xml:space="preserve">
IF(ФП09Уср&gt;ФП09П01,0,
IF(AND(ФП09Уср&gt;ФП09П02,ФП09Уср&lt;=ФП09П03),0.1,
IF(AND(ФП09Уср&gt;ФП09П04,ФП09Уср&lt;=ФП09П05),0.2,
IF(AND(ФП09Уср&gt;ФП09П06,ФП09Уср&lt;=ФП09П07),0.3,
IF(AND(ФП09Уср&gt;ФП09П08,ФП09Уср&lt;=ФП09П09),0.4,
IF(AND(ФП09Уср&gt;ФП09П10,ФП09Уср&lt;=ФП09П11),0.5,
IF(AND(ФП09Уср&gt;ФП09П12,ФП09Уср&lt;=ФП09П13),0.6,
IF(AND(ФП09Уср&gt;ФП09П14,ФП09Уср&lt;=ФП09П15),0.7,
IF(AND(ФП09Уср&gt;ФП09П16,ФП09Уср&lt;=ФП09П17),0.8,
IF(AND(ФП09Уср&gt;ФП09П18,ФП09Уср&lt;=ФП09П19),0.9,
IF(ФП09Уср&lt;=ФП09П20,1
)))))))))))</f>
        <v>0</v>
      </c>
      <c r="S17" s="131" t="s">
        <v>92</v>
      </c>
    </row>
    <row r="18" spans="2:19" s="64" customFormat="1" ht="45" customHeight="1" thickBot="1" x14ac:dyDescent="0.25">
      <c r="B18" s="114" t="s">
        <v>52</v>
      </c>
      <c r="C18" s="115" t="s">
        <v>114</v>
      </c>
      <c r="D18" s="167"/>
      <c r="E18" s="167"/>
      <c r="F18" s="167"/>
      <c r="G18" s="167"/>
      <c r="H18" s="116"/>
      <c r="J18" s="69">
        <f>IFERROR(IF(ИзмББ=1,(ЦЕНА/1000)/Стр1600,(ЦЕНА/1000000)/Стр1600),1000)</f>
        <v>1000</v>
      </c>
      <c r="K18" s="70">
        <f xml:space="preserve">
IF(ТипУчастника=1,ФП10*Тип1Вес2,
IF(ТипУчастника=2,ФП10*Тип2Вес2))</f>
        <v>667</v>
      </c>
      <c r="M18" s="69">
        <f>IFERROR(IF(AND(ТипУчастника=1,ИзмББ=1),(ЦЕНА/1000)/Стр1600пр,IF(AND(ТипУчастника=1,ИзмББ=2),(ЦЕНА/1000000)/Стр1600пр,"–//–")),1000)</f>
        <v>1000</v>
      </c>
      <c r="N18" s="70">
        <f>IF(ТипУчастника=1,ФП10пр*Тип1Вес1,"–//–")</f>
        <v>333</v>
      </c>
      <c r="P18" s="71">
        <f>IF(ТипУчастника=1,ROUND(ФП10Коэф+ФП10прКоэф,Округл2),ROUND(ФП10Коэф,Округл2))</f>
        <v>1000</v>
      </c>
      <c r="R18" s="72">
        <f xml:space="preserve">
IF(ФП10Уср&gt;ФП10П01,0,
IF(AND(ФП10Уср&gt;ФП10П02,ФП10Уср&lt;=ФП10П03),0.1,
IF(AND(ФП10Уср&gt;ФП10П04,ФП10Уср&lt;=ФП10П05),0.2,
IF(AND(ФП10Уср&gt;ФП10П06,ФП10Уср&lt;=ФП10П07),0.3,
IF(AND(ФП10Уср&gt;ФП10П08,ФП10Уср&lt;=ФП10П09),0.4,
IF(AND(ФП10Уср&gt;ФП10П10,ФП10Уср&lt;=ФП10П11),0.5,
IF(AND(ФП10Уср&gt;ФП10П12,ФП10Уср&lt;=ФП10П13),0.6,
IF(AND(ФП10Уср&gt;ФП10П14,ФП10Уср&lt;=ФП10П15),0.7,
IF(AND(ФП10Уср&gt;ФП10П16,ФП10Уср&lt;=ФП10П17),0.8,
IF(AND(ФП10Уср&gt;ФП10П18,ФП10Уср&lt;=ФП10П19),0.9,
IF(ФП10Уср&lt;=ФП10П20,1
)))))))))))</f>
        <v>0</v>
      </c>
      <c r="S18" s="131" t="s">
        <v>93</v>
      </c>
    </row>
  </sheetData>
  <sheetProtection algorithmName="SHA-512" hashValue="LdFAoyYK5XjvfVNU9i3aWbvJuXBHnMkLprKR4TeP7R3iaXl6xMxDJXVnPWOl1XAzyXrlXc+8P0ns8shz495IBA==" saltValue="EU/iRh7+XaFJQdnQoEfOgQ==" spinCount="100000" sheet="1" formatCells="0" formatColumns="0" formatRows="0"/>
  <mergeCells count="19">
    <mergeCell ref="J7:K7"/>
    <mergeCell ref="R7:R8"/>
    <mergeCell ref="B5:D5"/>
    <mergeCell ref="M7:N7"/>
    <mergeCell ref="P7:P8"/>
    <mergeCell ref="B7:B8"/>
    <mergeCell ref="C2:D2"/>
    <mergeCell ref="D18:G18"/>
    <mergeCell ref="D16:G16"/>
    <mergeCell ref="D14:G14"/>
    <mergeCell ref="D15:G15"/>
    <mergeCell ref="D17:G17"/>
    <mergeCell ref="D12:G12"/>
    <mergeCell ref="D13:G13"/>
    <mergeCell ref="D11:G11"/>
    <mergeCell ref="D10:G10"/>
    <mergeCell ref="D9:G9"/>
    <mergeCell ref="C7:C8"/>
    <mergeCell ref="D7:H8"/>
  </mergeCells>
  <conditionalFormatting sqref="R9:R18">
    <cfRule type="expression" dxfId="8" priority="13">
      <formula>$R9=1</formula>
    </cfRule>
    <cfRule type="expression" dxfId="7" priority="14">
      <formula>AND($R9&gt;0.4,$R9&lt;1)</formula>
    </cfRule>
    <cfRule type="expression" dxfId="6" priority="15">
      <formula>$R9&lt;=0.4</formula>
    </cfRule>
  </conditionalFormatting>
  <conditionalFormatting sqref="B4">
    <cfRule type="expression" dxfId="5" priority="12">
      <formula>БаллИтог&lt;0.45</formula>
    </cfRule>
  </conditionalFormatting>
  <conditionalFormatting sqref="C4">
    <cfRule type="expression" dxfId="4" priority="11">
      <formula>AND(БаллИтог&gt;=0.45,БаллИтог&lt;=0.9)</formula>
    </cfRule>
  </conditionalFormatting>
  <conditionalFormatting sqref="D4">
    <cfRule type="expression" dxfId="3" priority="10">
      <formula>БаллИтог&gt;0.9</formula>
    </cfRule>
  </conditionalFormatting>
  <conditionalFormatting sqref="M7:N18">
    <cfRule type="expression" dxfId="2" priority="9">
      <formula>OR(ТипУчастника=2,ТипУчастника=3)</formula>
    </cfRule>
  </conditionalFormatting>
  <conditionalFormatting sqref="J9:J18">
    <cfRule type="expression" dxfId="1" priority="8">
      <formula>OR($J9=-1000,$J9=1000)</formula>
    </cfRule>
  </conditionalFormatting>
  <conditionalFormatting sqref="M9:M18">
    <cfRule type="expression" dxfId="0" priority="5">
      <formula>OR($M9=-1000,$M9=1000)</formula>
    </cfRule>
  </conditionalFormatting>
  <dataValidations count="1">
    <dataValidation type="whole" allowBlank="1" showInputMessage="1" showErrorMessage="1" sqref="N2:N4" xr:uid="{00000000-0002-0000-0100-000000000000}">
      <formula1>0</formula1>
      <formula2>15</formula2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3"/>
  <sheetViews>
    <sheetView showGridLines="0" topLeftCell="C2" zoomScale="125" zoomScaleNormal="70" workbookViewId="0">
      <selection activeCell="N2" sqref="N2:P2"/>
    </sheetView>
  </sheetViews>
  <sheetFormatPr baseColWidth="10" defaultColWidth="8.83203125" defaultRowHeight="15" x14ac:dyDescent="0.2"/>
  <cols>
    <col min="1" max="1" width="3.6640625" customWidth="1"/>
    <col min="2" max="2" width="55.6640625" customWidth="1"/>
    <col min="3" max="3" width="7.6640625" customWidth="1"/>
    <col min="4" max="33" width="7.6640625" style="22" customWidth="1"/>
    <col min="34" max="34" width="3.6640625" style="75" customWidth="1"/>
  </cols>
  <sheetData>
    <row r="1" spans="1:34" ht="20" thickBot="1" x14ac:dyDescent="0.3">
      <c r="B1" s="74"/>
    </row>
    <row r="2" spans="1:34" ht="50" customHeight="1" thickBot="1" x14ac:dyDescent="0.25">
      <c r="A2" s="132"/>
      <c r="B2" s="104" t="s">
        <v>63</v>
      </c>
      <c r="C2" s="191">
        <v>0</v>
      </c>
      <c r="D2" s="192"/>
      <c r="E2" s="193">
        <v>0.1</v>
      </c>
      <c r="F2" s="194"/>
      <c r="G2" s="192"/>
      <c r="H2" s="193">
        <v>0.2</v>
      </c>
      <c r="I2" s="194"/>
      <c r="J2" s="192"/>
      <c r="K2" s="193">
        <v>0.3</v>
      </c>
      <c r="L2" s="194"/>
      <c r="M2" s="192"/>
      <c r="N2" s="193">
        <v>0.4</v>
      </c>
      <c r="O2" s="194"/>
      <c r="P2" s="192"/>
      <c r="Q2" s="186">
        <v>0.5</v>
      </c>
      <c r="R2" s="187"/>
      <c r="S2" s="188"/>
      <c r="T2" s="186">
        <v>0.6</v>
      </c>
      <c r="U2" s="187"/>
      <c r="V2" s="188"/>
      <c r="W2" s="186">
        <v>0.7</v>
      </c>
      <c r="X2" s="187"/>
      <c r="Y2" s="188"/>
      <c r="Z2" s="186">
        <v>0.8</v>
      </c>
      <c r="AA2" s="187"/>
      <c r="AB2" s="188"/>
      <c r="AC2" s="186">
        <v>0.9</v>
      </c>
      <c r="AD2" s="187"/>
      <c r="AE2" s="188"/>
      <c r="AF2" s="189">
        <v>1</v>
      </c>
      <c r="AG2" s="190"/>
    </row>
    <row r="3" spans="1:34" ht="40" customHeight="1" x14ac:dyDescent="0.2">
      <c r="A3" s="133" t="s">
        <v>84</v>
      </c>
      <c r="B3" s="81" t="s">
        <v>30</v>
      </c>
      <c r="C3" s="92" t="s">
        <v>55</v>
      </c>
      <c r="D3" s="117">
        <v>100.5</v>
      </c>
      <c r="E3" s="84">
        <v>100</v>
      </c>
      <c r="F3" s="95" t="s">
        <v>56</v>
      </c>
      <c r="G3" s="117">
        <v>100.5</v>
      </c>
      <c r="H3" s="84">
        <v>99.5</v>
      </c>
      <c r="I3" s="95" t="s">
        <v>56</v>
      </c>
      <c r="J3" s="117">
        <v>100</v>
      </c>
      <c r="K3" s="118">
        <v>98.5</v>
      </c>
      <c r="L3" s="95" t="s">
        <v>56</v>
      </c>
      <c r="M3" s="119">
        <v>99.5</v>
      </c>
      <c r="N3" s="118">
        <v>98</v>
      </c>
      <c r="O3" s="95" t="s">
        <v>56</v>
      </c>
      <c r="P3" s="119">
        <v>98.5</v>
      </c>
      <c r="Q3" s="23">
        <v>96</v>
      </c>
      <c r="R3" s="98" t="s">
        <v>56</v>
      </c>
      <c r="S3" s="24">
        <v>98</v>
      </c>
      <c r="T3" s="23">
        <v>94</v>
      </c>
      <c r="U3" s="98" t="s">
        <v>56</v>
      </c>
      <c r="V3" s="24">
        <v>96</v>
      </c>
      <c r="W3" s="23">
        <v>92</v>
      </c>
      <c r="X3" s="98" t="s">
        <v>56</v>
      </c>
      <c r="Y3" s="24">
        <v>94</v>
      </c>
      <c r="Z3" s="23">
        <v>90</v>
      </c>
      <c r="AA3" s="98" t="s">
        <v>56</v>
      </c>
      <c r="AB3" s="24">
        <v>92</v>
      </c>
      <c r="AC3" s="23">
        <v>83</v>
      </c>
      <c r="AD3" s="98" t="s">
        <v>56</v>
      </c>
      <c r="AE3" s="24">
        <v>90</v>
      </c>
      <c r="AF3" s="101" t="s">
        <v>60</v>
      </c>
      <c r="AG3" s="33">
        <v>83</v>
      </c>
      <c r="AH3" s="76"/>
    </row>
    <row r="4" spans="1:34" ht="40" customHeight="1" x14ac:dyDescent="0.2">
      <c r="A4" s="133" t="s">
        <v>85</v>
      </c>
      <c r="B4" s="82" t="s">
        <v>31</v>
      </c>
      <c r="C4" s="93" t="s">
        <v>57</v>
      </c>
      <c r="D4" s="85">
        <v>-10</v>
      </c>
      <c r="E4" s="86">
        <v>-10</v>
      </c>
      <c r="F4" s="96" t="s">
        <v>58</v>
      </c>
      <c r="G4" s="85">
        <v>-7</v>
      </c>
      <c r="H4" s="86">
        <v>-7</v>
      </c>
      <c r="I4" s="96" t="s">
        <v>58</v>
      </c>
      <c r="J4" s="85">
        <v>-3</v>
      </c>
      <c r="K4" s="120">
        <v>-3</v>
      </c>
      <c r="L4" s="96" t="s">
        <v>58</v>
      </c>
      <c r="M4" s="121">
        <v>0</v>
      </c>
      <c r="N4" s="120">
        <v>0</v>
      </c>
      <c r="O4" s="96" t="s">
        <v>58</v>
      </c>
      <c r="P4" s="121">
        <v>3</v>
      </c>
      <c r="Q4" s="25">
        <v>3</v>
      </c>
      <c r="R4" s="99" t="s">
        <v>58</v>
      </c>
      <c r="S4" s="26">
        <v>7</v>
      </c>
      <c r="T4" s="25">
        <v>7</v>
      </c>
      <c r="U4" s="99" t="s">
        <v>58</v>
      </c>
      <c r="V4" s="26">
        <v>10</v>
      </c>
      <c r="W4" s="25">
        <v>10</v>
      </c>
      <c r="X4" s="99" t="s">
        <v>58</v>
      </c>
      <c r="Y4" s="26">
        <v>13</v>
      </c>
      <c r="Z4" s="25">
        <v>13</v>
      </c>
      <c r="AA4" s="99" t="s">
        <v>58</v>
      </c>
      <c r="AB4" s="26">
        <v>17</v>
      </c>
      <c r="AC4" s="25">
        <v>17</v>
      </c>
      <c r="AD4" s="99" t="s">
        <v>58</v>
      </c>
      <c r="AE4" s="26">
        <v>20</v>
      </c>
      <c r="AF4" s="102" t="s">
        <v>59</v>
      </c>
      <c r="AG4" s="34">
        <v>20</v>
      </c>
    </row>
    <row r="5" spans="1:34" ht="40" customHeight="1" x14ac:dyDescent="0.2">
      <c r="A5" s="133" t="s">
        <v>86</v>
      </c>
      <c r="B5" s="82" t="s">
        <v>32</v>
      </c>
      <c r="C5" s="93" t="s">
        <v>55</v>
      </c>
      <c r="D5" s="87">
        <v>11</v>
      </c>
      <c r="E5" s="88">
        <v>10</v>
      </c>
      <c r="F5" s="96" t="s">
        <v>56</v>
      </c>
      <c r="G5" s="87">
        <v>11</v>
      </c>
      <c r="H5" s="88">
        <v>9</v>
      </c>
      <c r="I5" s="96" t="s">
        <v>56</v>
      </c>
      <c r="J5" s="87">
        <v>10</v>
      </c>
      <c r="K5" s="122">
        <v>8</v>
      </c>
      <c r="L5" s="96" t="s">
        <v>56</v>
      </c>
      <c r="M5" s="123">
        <v>9</v>
      </c>
      <c r="N5" s="122">
        <v>7</v>
      </c>
      <c r="O5" s="96" t="s">
        <v>56</v>
      </c>
      <c r="P5" s="123">
        <v>8</v>
      </c>
      <c r="Q5" s="27">
        <v>6</v>
      </c>
      <c r="R5" s="99" t="s">
        <v>56</v>
      </c>
      <c r="S5" s="28">
        <v>7</v>
      </c>
      <c r="T5" s="27">
        <v>5</v>
      </c>
      <c r="U5" s="99" t="s">
        <v>56</v>
      </c>
      <c r="V5" s="28">
        <v>6</v>
      </c>
      <c r="W5" s="27">
        <v>4</v>
      </c>
      <c r="X5" s="99" t="s">
        <v>56</v>
      </c>
      <c r="Y5" s="28">
        <v>5</v>
      </c>
      <c r="Z5" s="27">
        <v>3</v>
      </c>
      <c r="AA5" s="99" t="s">
        <v>56</v>
      </c>
      <c r="AB5" s="28">
        <v>4</v>
      </c>
      <c r="AC5" s="27">
        <v>2</v>
      </c>
      <c r="AD5" s="99" t="s">
        <v>56</v>
      </c>
      <c r="AE5" s="28">
        <v>3</v>
      </c>
      <c r="AF5" s="102" t="s">
        <v>60</v>
      </c>
      <c r="AG5" s="35">
        <v>2</v>
      </c>
    </row>
    <row r="6" spans="1:34" ht="40" customHeight="1" x14ac:dyDescent="0.2">
      <c r="A6" s="133" t="s">
        <v>87</v>
      </c>
      <c r="B6" s="82" t="s">
        <v>33</v>
      </c>
      <c r="C6" s="93" t="s">
        <v>55</v>
      </c>
      <c r="D6" s="87">
        <v>195</v>
      </c>
      <c r="E6" s="88">
        <v>180</v>
      </c>
      <c r="F6" s="96" t="s">
        <v>56</v>
      </c>
      <c r="G6" s="87">
        <v>195</v>
      </c>
      <c r="H6" s="88">
        <v>165</v>
      </c>
      <c r="I6" s="96" t="s">
        <v>56</v>
      </c>
      <c r="J6" s="87">
        <v>180</v>
      </c>
      <c r="K6" s="122">
        <v>150</v>
      </c>
      <c r="L6" s="96" t="s">
        <v>56</v>
      </c>
      <c r="M6" s="123">
        <v>165</v>
      </c>
      <c r="N6" s="122">
        <v>135</v>
      </c>
      <c r="O6" s="96" t="s">
        <v>56</v>
      </c>
      <c r="P6" s="123">
        <v>150</v>
      </c>
      <c r="Q6" s="27">
        <v>120</v>
      </c>
      <c r="R6" s="99" t="s">
        <v>56</v>
      </c>
      <c r="S6" s="28">
        <v>135</v>
      </c>
      <c r="T6" s="27">
        <v>105</v>
      </c>
      <c r="U6" s="99" t="s">
        <v>56</v>
      </c>
      <c r="V6" s="28">
        <v>120</v>
      </c>
      <c r="W6" s="27">
        <v>90</v>
      </c>
      <c r="X6" s="99" t="s">
        <v>56</v>
      </c>
      <c r="Y6" s="28">
        <v>105</v>
      </c>
      <c r="Z6" s="27">
        <v>75</v>
      </c>
      <c r="AA6" s="99" t="s">
        <v>56</v>
      </c>
      <c r="AB6" s="28">
        <v>90</v>
      </c>
      <c r="AC6" s="27">
        <v>60</v>
      </c>
      <c r="AD6" s="99" t="s">
        <v>56</v>
      </c>
      <c r="AE6" s="28">
        <v>75</v>
      </c>
      <c r="AF6" s="102" t="s">
        <v>60</v>
      </c>
      <c r="AG6" s="35">
        <v>60</v>
      </c>
      <c r="AH6" s="76"/>
    </row>
    <row r="7" spans="1:34" ht="40" customHeight="1" x14ac:dyDescent="0.2">
      <c r="A7" s="133" t="s">
        <v>88</v>
      </c>
      <c r="B7" s="82" t="s">
        <v>34</v>
      </c>
      <c r="C7" s="93" t="s">
        <v>55</v>
      </c>
      <c r="D7" s="87">
        <v>195</v>
      </c>
      <c r="E7" s="88">
        <v>180</v>
      </c>
      <c r="F7" s="96" t="s">
        <v>56</v>
      </c>
      <c r="G7" s="87">
        <v>195</v>
      </c>
      <c r="H7" s="88">
        <v>165</v>
      </c>
      <c r="I7" s="96" t="s">
        <v>56</v>
      </c>
      <c r="J7" s="87">
        <v>180</v>
      </c>
      <c r="K7" s="122">
        <v>150</v>
      </c>
      <c r="L7" s="96" t="s">
        <v>56</v>
      </c>
      <c r="M7" s="123">
        <v>165</v>
      </c>
      <c r="N7" s="122">
        <v>135</v>
      </c>
      <c r="O7" s="96" t="s">
        <v>56</v>
      </c>
      <c r="P7" s="123">
        <v>150</v>
      </c>
      <c r="Q7" s="27">
        <v>120</v>
      </c>
      <c r="R7" s="99" t="s">
        <v>56</v>
      </c>
      <c r="S7" s="28">
        <v>135</v>
      </c>
      <c r="T7" s="27">
        <v>105</v>
      </c>
      <c r="U7" s="99" t="s">
        <v>56</v>
      </c>
      <c r="V7" s="28">
        <v>120</v>
      </c>
      <c r="W7" s="27">
        <v>90</v>
      </c>
      <c r="X7" s="99" t="s">
        <v>56</v>
      </c>
      <c r="Y7" s="28">
        <v>105</v>
      </c>
      <c r="Z7" s="27">
        <v>75</v>
      </c>
      <c r="AA7" s="99" t="s">
        <v>56</v>
      </c>
      <c r="AB7" s="28">
        <v>90</v>
      </c>
      <c r="AC7" s="27">
        <v>60</v>
      </c>
      <c r="AD7" s="99" t="s">
        <v>56</v>
      </c>
      <c r="AE7" s="28">
        <v>75</v>
      </c>
      <c r="AF7" s="102" t="s">
        <v>60</v>
      </c>
      <c r="AG7" s="35">
        <v>60</v>
      </c>
      <c r="AH7" s="76"/>
    </row>
    <row r="8" spans="1:34" ht="40" customHeight="1" x14ac:dyDescent="0.2">
      <c r="A8" s="133" t="s">
        <v>89</v>
      </c>
      <c r="B8" s="82" t="s">
        <v>35</v>
      </c>
      <c r="C8" s="93" t="s">
        <v>61</v>
      </c>
      <c r="D8" s="89">
        <v>0.03</v>
      </c>
      <c r="E8" s="90">
        <v>0.03</v>
      </c>
      <c r="F8" s="96" t="s">
        <v>58</v>
      </c>
      <c r="G8" s="89">
        <v>0.04</v>
      </c>
      <c r="H8" s="90">
        <v>0.04</v>
      </c>
      <c r="I8" s="96" t="s">
        <v>58</v>
      </c>
      <c r="J8" s="89">
        <v>0.05</v>
      </c>
      <c r="K8" s="124">
        <v>0.05</v>
      </c>
      <c r="L8" s="96" t="s">
        <v>58</v>
      </c>
      <c r="M8" s="125">
        <v>0.06</v>
      </c>
      <c r="N8" s="124">
        <v>0.06</v>
      </c>
      <c r="O8" s="96" t="s">
        <v>58</v>
      </c>
      <c r="P8" s="125">
        <v>7.0000000000000007E-2</v>
      </c>
      <c r="Q8" s="29">
        <v>7.0000000000000007E-2</v>
      </c>
      <c r="R8" s="99" t="s">
        <v>58</v>
      </c>
      <c r="S8" s="30">
        <v>0.09</v>
      </c>
      <c r="T8" s="29">
        <v>0.09</v>
      </c>
      <c r="U8" s="99" t="s">
        <v>58</v>
      </c>
      <c r="V8" s="30">
        <v>0.1</v>
      </c>
      <c r="W8" s="29">
        <v>0.1</v>
      </c>
      <c r="X8" s="99" t="s">
        <v>58</v>
      </c>
      <c r="Y8" s="30">
        <v>0.13</v>
      </c>
      <c r="Z8" s="29">
        <v>0.13</v>
      </c>
      <c r="AA8" s="99" t="s">
        <v>58</v>
      </c>
      <c r="AB8" s="30">
        <v>0.17</v>
      </c>
      <c r="AC8" s="29">
        <v>0.17</v>
      </c>
      <c r="AD8" s="99" t="s">
        <v>58</v>
      </c>
      <c r="AE8" s="30">
        <v>0.2</v>
      </c>
      <c r="AF8" s="102" t="s">
        <v>59</v>
      </c>
      <c r="AG8" s="36">
        <v>0.2</v>
      </c>
    </row>
    <row r="9" spans="1:34" ht="40" customHeight="1" x14ac:dyDescent="0.2">
      <c r="A9" s="133" t="s">
        <v>90</v>
      </c>
      <c r="B9" s="82" t="s">
        <v>36</v>
      </c>
      <c r="C9" s="93" t="s">
        <v>55</v>
      </c>
      <c r="D9" s="85">
        <v>1.7</v>
      </c>
      <c r="E9" s="86">
        <v>1.6</v>
      </c>
      <c r="F9" s="96" t="s">
        <v>56</v>
      </c>
      <c r="G9" s="85">
        <v>1.7</v>
      </c>
      <c r="H9" s="86">
        <v>1.5</v>
      </c>
      <c r="I9" s="96" t="s">
        <v>56</v>
      </c>
      <c r="J9" s="85">
        <v>1.6</v>
      </c>
      <c r="K9" s="120">
        <v>1.4</v>
      </c>
      <c r="L9" s="96" t="s">
        <v>56</v>
      </c>
      <c r="M9" s="121">
        <v>1.5</v>
      </c>
      <c r="N9" s="120">
        <v>1.3</v>
      </c>
      <c r="O9" s="96" t="s">
        <v>56</v>
      </c>
      <c r="P9" s="121">
        <v>1.4</v>
      </c>
      <c r="Q9" s="25">
        <v>1.2</v>
      </c>
      <c r="R9" s="99" t="s">
        <v>56</v>
      </c>
      <c r="S9" s="26">
        <v>1.3</v>
      </c>
      <c r="T9" s="25">
        <v>1.1000000000000001</v>
      </c>
      <c r="U9" s="99" t="s">
        <v>56</v>
      </c>
      <c r="V9" s="26">
        <v>1.2</v>
      </c>
      <c r="W9" s="25">
        <v>1</v>
      </c>
      <c r="X9" s="99" t="s">
        <v>56</v>
      </c>
      <c r="Y9" s="26">
        <v>1.1000000000000001</v>
      </c>
      <c r="Z9" s="25">
        <v>0.9</v>
      </c>
      <c r="AA9" s="99" t="s">
        <v>56</v>
      </c>
      <c r="AB9" s="26">
        <v>1</v>
      </c>
      <c r="AC9" s="25">
        <v>0.8</v>
      </c>
      <c r="AD9" s="99" t="s">
        <v>56</v>
      </c>
      <c r="AE9" s="26">
        <v>0.9</v>
      </c>
      <c r="AF9" s="102" t="s">
        <v>62</v>
      </c>
      <c r="AG9" s="34">
        <v>0.8</v>
      </c>
    </row>
    <row r="10" spans="1:34" ht="40" customHeight="1" x14ac:dyDescent="0.2">
      <c r="A10" s="133" t="s">
        <v>91</v>
      </c>
      <c r="B10" s="82" t="s">
        <v>37</v>
      </c>
      <c r="C10" s="93" t="s">
        <v>57</v>
      </c>
      <c r="D10" s="89">
        <v>-0.05</v>
      </c>
      <c r="E10" s="90">
        <v>-0.05</v>
      </c>
      <c r="F10" s="96" t="s">
        <v>58</v>
      </c>
      <c r="G10" s="89">
        <v>0</v>
      </c>
      <c r="H10" s="90">
        <v>0</v>
      </c>
      <c r="I10" s="96" t="s">
        <v>58</v>
      </c>
      <c r="J10" s="89">
        <v>0.05</v>
      </c>
      <c r="K10" s="124">
        <v>0.05</v>
      </c>
      <c r="L10" s="96" t="s">
        <v>58</v>
      </c>
      <c r="M10" s="125">
        <v>0.1</v>
      </c>
      <c r="N10" s="124">
        <v>0.1</v>
      </c>
      <c r="O10" s="96" t="s">
        <v>58</v>
      </c>
      <c r="P10" s="125">
        <v>0.15</v>
      </c>
      <c r="Q10" s="29">
        <v>0.15</v>
      </c>
      <c r="R10" s="99" t="s">
        <v>58</v>
      </c>
      <c r="S10" s="30">
        <v>0.2</v>
      </c>
      <c r="T10" s="29">
        <v>0.2</v>
      </c>
      <c r="U10" s="99" t="s">
        <v>58</v>
      </c>
      <c r="V10" s="30">
        <v>0.25</v>
      </c>
      <c r="W10" s="29">
        <v>0.25</v>
      </c>
      <c r="X10" s="99" t="s">
        <v>58</v>
      </c>
      <c r="Y10" s="30">
        <v>0.27</v>
      </c>
      <c r="Z10" s="29">
        <v>0.27</v>
      </c>
      <c r="AA10" s="99" t="s">
        <v>58</v>
      </c>
      <c r="AB10" s="30">
        <v>0.3</v>
      </c>
      <c r="AC10" s="29">
        <v>0.3</v>
      </c>
      <c r="AD10" s="99" t="s">
        <v>58</v>
      </c>
      <c r="AE10" s="30">
        <v>0.33</v>
      </c>
      <c r="AF10" s="102" t="s">
        <v>59</v>
      </c>
      <c r="AG10" s="36">
        <v>0.33</v>
      </c>
      <c r="AH10" s="76"/>
    </row>
    <row r="11" spans="1:34" ht="40" customHeight="1" x14ac:dyDescent="0.2">
      <c r="A11" s="133" t="s">
        <v>92</v>
      </c>
      <c r="B11" s="82" t="s">
        <v>38</v>
      </c>
      <c r="C11" s="93" t="s">
        <v>55</v>
      </c>
      <c r="D11" s="89">
        <v>0.9</v>
      </c>
      <c r="E11" s="90">
        <v>0.8</v>
      </c>
      <c r="F11" s="96" t="s">
        <v>56</v>
      </c>
      <c r="G11" s="89">
        <v>0.9</v>
      </c>
      <c r="H11" s="90">
        <v>0.7</v>
      </c>
      <c r="I11" s="96" t="s">
        <v>56</v>
      </c>
      <c r="J11" s="89">
        <v>0.8</v>
      </c>
      <c r="K11" s="124">
        <v>0.6</v>
      </c>
      <c r="L11" s="96" t="s">
        <v>56</v>
      </c>
      <c r="M11" s="125">
        <v>0.7</v>
      </c>
      <c r="N11" s="124">
        <v>0.5</v>
      </c>
      <c r="O11" s="96" t="s">
        <v>56</v>
      </c>
      <c r="P11" s="125">
        <v>0.6</v>
      </c>
      <c r="Q11" s="29">
        <v>0.4</v>
      </c>
      <c r="R11" s="99" t="s">
        <v>56</v>
      </c>
      <c r="S11" s="30">
        <v>0.5</v>
      </c>
      <c r="T11" s="29">
        <v>0.3</v>
      </c>
      <c r="U11" s="99" t="s">
        <v>56</v>
      </c>
      <c r="V11" s="30">
        <v>0.4</v>
      </c>
      <c r="W11" s="29">
        <v>0.25</v>
      </c>
      <c r="X11" s="99" t="s">
        <v>56</v>
      </c>
      <c r="Y11" s="30">
        <v>0.3</v>
      </c>
      <c r="Z11" s="29">
        <v>0.2</v>
      </c>
      <c r="AA11" s="99" t="s">
        <v>56</v>
      </c>
      <c r="AB11" s="30">
        <v>0.25</v>
      </c>
      <c r="AC11" s="29">
        <v>0.15</v>
      </c>
      <c r="AD11" s="99" t="s">
        <v>56</v>
      </c>
      <c r="AE11" s="30">
        <v>0.2</v>
      </c>
      <c r="AF11" s="102" t="s">
        <v>62</v>
      </c>
      <c r="AG11" s="36">
        <v>0.15</v>
      </c>
      <c r="AH11" s="76"/>
    </row>
    <row r="12" spans="1:34" ht="40" customHeight="1" thickBot="1" x14ac:dyDescent="0.25">
      <c r="A12" s="133" t="s">
        <v>93</v>
      </c>
      <c r="B12" s="83" t="s">
        <v>39</v>
      </c>
      <c r="C12" s="94" t="s">
        <v>55</v>
      </c>
      <c r="D12" s="126">
        <v>1.8</v>
      </c>
      <c r="E12" s="91">
        <v>1.6</v>
      </c>
      <c r="F12" s="97" t="s">
        <v>56</v>
      </c>
      <c r="G12" s="126">
        <v>1.8</v>
      </c>
      <c r="H12" s="91">
        <v>1.4</v>
      </c>
      <c r="I12" s="97" t="s">
        <v>56</v>
      </c>
      <c r="J12" s="126">
        <v>1.6</v>
      </c>
      <c r="K12" s="127">
        <v>1.2</v>
      </c>
      <c r="L12" s="97" t="s">
        <v>56</v>
      </c>
      <c r="M12" s="128">
        <v>1.4</v>
      </c>
      <c r="N12" s="127">
        <v>1</v>
      </c>
      <c r="O12" s="97" t="s">
        <v>56</v>
      </c>
      <c r="P12" s="128">
        <v>1.2</v>
      </c>
      <c r="Q12" s="31">
        <v>0.8</v>
      </c>
      <c r="R12" s="100" t="s">
        <v>56</v>
      </c>
      <c r="S12" s="32">
        <v>1</v>
      </c>
      <c r="T12" s="31">
        <v>0.6</v>
      </c>
      <c r="U12" s="100" t="s">
        <v>56</v>
      </c>
      <c r="V12" s="32">
        <v>0.8</v>
      </c>
      <c r="W12" s="31">
        <v>0.5</v>
      </c>
      <c r="X12" s="100" t="s">
        <v>56</v>
      </c>
      <c r="Y12" s="32">
        <v>0.6</v>
      </c>
      <c r="Z12" s="31">
        <v>0.4</v>
      </c>
      <c r="AA12" s="100" t="s">
        <v>56</v>
      </c>
      <c r="AB12" s="32">
        <v>0.5</v>
      </c>
      <c r="AC12" s="31">
        <v>0.3</v>
      </c>
      <c r="AD12" s="100" t="s">
        <v>56</v>
      </c>
      <c r="AE12" s="32">
        <v>0.4</v>
      </c>
      <c r="AF12" s="103" t="s">
        <v>62</v>
      </c>
      <c r="AG12" s="37">
        <v>0.3</v>
      </c>
      <c r="AH12" s="76"/>
    </row>
    <row r="13" spans="1:34" x14ac:dyDescent="0.2">
      <c r="B13" s="132"/>
      <c r="C13" s="134"/>
      <c r="D13" s="134" t="s">
        <v>64</v>
      </c>
      <c r="E13" s="134" t="s">
        <v>65</v>
      </c>
      <c r="F13" s="134"/>
      <c r="G13" s="134" t="s">
        <v>66</v>
      </c>
      <c r="H13" s="134" t="s">
        <v>67</v>
      </c>
      <c r="I13" s="134"/>
      <c r="J13" s="134" t="s">
        <v>68</v>
      </c>
      <c r="K13" s="134" t="s">
        <v>69</v>
      </c>
      <c r="L13" s="134"/>
      <c r="M13" s="134" t="s">
        <v>70</v>
      </c>
      <c r="N13" s="134" t="s">
        <v>71</v>
      </c>
      <c r="O13" s="134"/>
      <c r="P13" s="134" t="s">
        <v>72</v>
      </c>
      <c r="Q13" s="134" t="s">
        <v>73</v>
      </c>
      <c r="R13" s="134"/>
      <c r="S13" s="134" t="s">
        <v>74</v>
      </c>
      <c r="T13" s="134" t="s">
        <v>75</v>
      </c>
      <c r="U13" s="134"/>
      <c r="V13" s="134" t="s">
        <v>76</v>
      </c>
      <c r="W13" s="134" t="s">
        <v>77</v>
      </c>
      <c r="X13" s="134"/>
      <c r="Y13" s="134" t="s">
        <v>78</v>
      </c>
      <c r="Z13" s="134" t="s">
        <v>79</v>
      </c>
      <c r="AA13" s="134"/>
      <c r="AB13" s="134" t="s">
        <v>80</v>
      </c>
      <c r="AC13" s="134" t="s">
        <v>81</v>
      </c>
      <c r="AD13" s="134"/>
      <c r="AE13" s="134" t="s">
        <v>82</v>
      </c>
      <c r="AF13" s="134"/>
      <c r="AG13" s="134" t="s">
        <v>83</v>
      </c>
    </row>
  </sheetData>
  <sheetProtection algorithmName="SHA-512" hashValue="D3zogTucC57ZSA7JKIPLNfperw+7jFCTSQe0Jt2mGHm598D9QYxSWYT0k2QDqbADY5Xu/jjBPHVvEoBF3tpMkQ==" saltValue="sABxr9bh9hTrmobTVr7YVg==" spinCount="100000" sheet="1" objects="1" scenarios="1" formatCells="0" formatColumns="0" formatRows="0"/>
  <mergeCells count="11">
    <mergeCell ref="Q2:S2"/>
    <mergeCell ref="C2:D2"/>
    <mergeCell ref="E2:G2"/>
    <mergeCell ref="H2:J2"/>
    <mergeCell ref="K2:M2"/>
    <mergeCell ref="N2:P2"/>
    <mergeCell ref="T2:V2"/>
    <mergeCell ref="W2:Y2"/>
    <mergeCell ref="Z2:AB2"/>
    <mergeCell ref="AC2:AE2"/>
    <mergeCell ref="AF2:AG2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315</vt:i4>
      </vt:variant>
    </vt:vector>
  </HeadingPairs>
  <TitlesOfParts>
    <vt:vector size="318" baseType="lpstr">
      <vt:lpstr>Ввод данных</vt:lpstr>
      <vt:lpstr>Расчет показателей</vt:lpstr>
      <vt:lpstr>Пороговые значения</vt:lpstr>
      <vt:lpstr>Балл00</vt:lpstr>
      <vt:lpstr>Балл01</vt:lpstr>
      <vt:lpstr>Балл02</vt:lpstr>
      <vt:lpstr>Балл03</vt:lpstr>
      <vt:lpstr>Балл04</vt:lpstr>
      <vt:lpstr>Балл05</vt:lpstr>
      <vt:lpstr>Балл06</vt:lpstr>
      <vt:lpstr>Балл07</vt:lpstr>
      <vt:lpstr>Балл08</vt:lpstr>
      <vt:lpstr>Балл09</vt:lpstr>
      <vt:lpstr>Балл10</vt:lpstr>
      <vt:lpstr>БаллИтог</vt:lpstr>
      <vt:lpstr>ИзмББ</vt:lpstr>
      <vt:lpstr>Округл0</vt:lpstr>
      <vt:lpstr>Округл1</vt:lpstr>
      <vt:lpstr>Округл2</vt:lpstr>
      <vt:lpstr>Регресс</vt:lpstr>
      <vt:lpstr>Стр1100</vt:lpstr>
      <vt:lpstr>Стр1100пр</vt:lpstr>
      <vt:lpstr>Стр1150</vt:lpstr>
      <vt:lpstr>Стр1150пр</vt:lpstr>
      <vt:lpstr>Стр1230</vt:lpstr>
      <vt:lpstr>Стр1230пр</vt:lpstr>
      <vt:lpstr>Стр1250</vt:lpstr>
      <vt:lpstr>Стр1250пр</vt:lpstr>
      <vt:lpstr>Стр1300</vt:lpstr>
      <vt:lpstr>Стр1300пр</vt:lpstr>
      <vt:lpstr>Стр1400</vt:lpstr>
      <vt:lpstr>Стр1400пр</vt:lpstr>
      <vt:lpstr>Стр1410</vt:lpstr>
      <vt:lpstr>Стр1410пр</vt:lpstr>
      <vt:lpstr>Стр1500</vt:lpstr>
      <vt:lpstr>Стр1500пр</vt:lpstr>
      <vt:lpstr>Стр1510</vt:lpstr>
      <vt:lpstr>Стр1510пр</vt:lpstr>
      <vt:lpstr>Стр1520</vt:lpstr>
      <vt:lpstr>Стр1520пр</vt:lpstr>
      <vt:lpstr>Стр1600</vt:lpstr>
      <vt:lpstr>Стр1600пр</vt:lpstr>
      <vt:lpstr>Стр1700</vt:lpstr>
      <vt:lpstr>Стр1700пр</vt:lpstr>
      <vt:lpstr>Стр2110</vt:lpstr>
      <vt:lpstr>Стр2110пр</vt:lpstr>
      <vt:lpstr>Стр2300</vt:lpstr>
      <vt:lpstr>Стр2300пр</vt:lpstr>
      <vt:lpstr>Стр2330</vt:lpstr>
      <vt:lpstr>Стр2330пр</vt:lpstr>
      <vt:lpstr>Тип1Вес1</vt:lpstr>
      <vt:lpstr>Тип1Вес2</vt:lpstr>
      <vt:lpstr>Тип1Вес3</vt:lpstr>
      <vt:lpstr>Тип2Вес1</vt:lpstr>
      <vt:lpstr>Тип2Вес2</vt:lpstr>
      <vt:lpstr>Тип2Вес3</vt:lpstr>
      <vt:lpstr>ТипУчастника</vt:lpstr>
      <vt:lpstr>ФП01</vt:lpstr>
      <vt:lpstr>ФП01БаллИтог</vt:lpstr>
      <vt:lpstr>ФП01Коэф</vt:lpstr>
      <vt:lpstr>ФП01П01</vt:lpstr>
      <vt:lpstr>ФП01П02</vt:lpstr>
      <vt:lpstr>ФП01П03</vt:lpstr>
      <vt:lpstr>ФП01П04</vt:lpstr>
      <vt:lpstr>ФП01П05</vt:lpstr>
      <vt:lpstr>ФП01П06</vt:lpstr>
      <vt:lpstr>ФП01П07</vt:lpstr>
      <vt:lpstr>ФП01П08</vt:lpstr>
      <vt:lpstr>ФП01П09</vt:lpstr>
      <vt:lpstr>ФП01П10</vt:lpstr>
      <vt:lpstr>ФП01П11</vt:lpstr>
      <vt:lpstr>ФП01П12</vt:lpstr>
      <vt:lpstr>ФП01П13</vt:lpstr>
      <vt:lpstr>ФП01П14</vt:lpstr>
      <vt:lpstr>ФП01П15</vt:lpstr>
      <vt:lpstr>ФП01П16</vt:lpstr>
      <vt:lpstr>ФП01П17</vt:lpstr>
      <vt:lpstr>ФП01П18</vt:lpstr>
      <vt:lpstr>ФП01П19</vt:lpstr>
      <vt:lpstr>ФП01П20</vt:lpstr>
      <vt:lpstr>ФП01пр</vt:lpstr>
      <vt:lpstr>ФП01прКоэф</vt:lpstr>
      <vt:lpstr>ФП01Уср</vt:lpstr>
      <vt:lpstr>ФП02</vt:lpstr>
      <vt:lpstr>ФП02БаллИтог</vt:lpstr>
      <vt:lpstr>ФП02Коэф</vt:lpstr>
      <vt:lpstr>ФП02П01</vt:lpstr>
      <vt:lpstr>ФП02П02</vt:lpstr>
      <vt:lpstr>ФП02П03</vt:lpstr>
      <vt:lpstr>ФП02П04</vt:lpstr>
      <vt:lpstr>ФП02П05</vt:lpstr>
      <vt:lpstr>ФП02П06</vt:lpstr>
      <vt:lpstr>ФП02П07</vt:lpstr>
      <vt:lpstr>ФП02П08</vt:lpstr>
      <vt:lpstr>ФП02П09</vt:lpstr>
      <vt:lpstr>ФП02П10</vt:lpstr>
      <vt:lpstr>ФП02П11</vt:lpstr>
      <vt:lpstr>ФП02П12</vt:lpstr>
      <vt:lpstr>ФП02П13</vt:lpstr>
      <vt:lpstr>ФП02П14</vt:lpstr>
      <vt:lpstr>ФП02П15</vt:lpstr>
      <vt:lpstr>ФП02П16</vt:lpstr>
      <vt:lpstr>ФП02П17</vt:lpstr>
      <vt:lpstr>ФП02П18</vt:lpstr>
      <vt:lpstr>ФП02П19</vt:lpstr>
      <vt:lpstr>ФП02П20</vt:lpstr>
      <vt:lpstr>ФП02пр</vt:lpstr>
      <vt:lpstr>ФП02прКоэф</vt:lpstr>
      <vt:lpstr>ФП02Уср</vt:lpstr>
      <vt:lpstr>ФП03</vt:lpstr>
      <vt:lpstr>ФП03БаллИтог</vt:lpstr>
      <vt:lpstr>ФП03Коэф</vt:lpstr>
      <vt:lpstr>ФП03П01</vt:lpstr>
      <vt:lpstr>ФП03П02</vt:lpstr>
      <vt:lpstr>ФП03П03</vt:lpstr>
      <vt:lpstr>ФП03П04</vt:lpstr>
      <vt:lpstr>ФП03П05</vt:lpstr>
      <vt:lpstr>ФП03П06</vt:lpstr>
      <vt:lpstr>ФП03П07</vt:lpstr>
      <vt:lpstr>ФП03П08</vt:lpstr>
      <vt:lpstr>ФП03П09</vt:lpstr>
      <vt:lpstr>ФП03П10</vt:lpstr>
      <vt:lpstr>ФП03П11</vt:lpstr>
      <vt:lpstr>ФП03П12</vt:lpstr>
      <vt:lpstr>ФП03П13</vt:lpstr>
      <vt:lpstr>ФП03П14</vt:lpstr>
      <vt:lpstr>ФП03П15</vt:lpstr>
      <vt:lpstr>ФП03П16</vt:lpstr>
      <vt:lpstr>ФП03П17</vt:lpstr>
      <vt:lpstr>ФП03П18</vt:lpstr>
      <vt:lpstr>ФП03П19</vt:lpstr>
      <vt:lpstr>ФП03П20</vt:lpstr>
      <vt:lpstr>ФП03пр</vt:lpstr>
      <vt:lpstr>ФП03прКоэф</vt:lpstr>
      <vt:lpstr>ФП03Уср</vt:lpstr>
      <vt:lpstr>ФП04</vt:lpstr>
      <vt:lpstr>ФП04БаллИтог</vt:lpstr>
      <vt:lpstr>ФП04Коэф</vt:lpstr>
      <vt:lpstr>ФП04П01</vt:lpstr>
      <vt:lpstr>ФП04П02</vt:lpstr>
      <vt:lpstr>ФП04П03</vt:lpstr>
      <vt:lpstr>ФП04П04</vt:lpstr>
      <vt:lpstr>ФП04П05</vt:lpstr>
      <vt:lpstr>ФП04П06</vt:lpstr>
      <vt:lpstr>ФП04П07</vt:lpstr>
      <vt:lpstr>ФП04П08</vt:lpstr>
      <vt:lpstr>ФП04П09</vt:lpstr>
      <vt:lpstr>ФП04П10</vt:lpstr>
      <vt:lpstr>ФП04П11</vt:lpstr>
      <vt:lpstr>ФП04П12</vt:lpstr>
      <vt:lpstr>ФП04П13</vt:lpstr>
      <vt:lpstr>ФП04П14</vt:lpstr>
      <vt:lpstr>ФП04П15</vt:lpstr>
      <vt:lpstr>ФП04П16</vt:lpstr>
      <vt:lpstr>ФП04П17</vt:lpstr>
      <vt:lpstr>ФП04П18</vt:lpstr>
      <vt:lpstr>ФП04П19</vt:lpstr>
      <vt:lpstr>ФП04П20</vt:lpstr>
      <vt:lpstr>ФП04пр</vt:lpstr>
      <vt:lpstr>ФП04прКоэф</vt:lpstr>
      <vt:lpstr>ФП04Уср</vt:lpstr>
      <vt:lpstr>ФП05</vt:lpstr>
      <vt:lpstr>ФП05БаллИтог</vt:lpstr>
      <vt:lpstr>ФП05Коэф</vt:lpstr>
      <vt:lpstr>ФП05П01</vt:lpstr>
      <vt:lpstr>ФП05П02</vt:lpstr>
      <vt:lpstr>ФП05П03</vt:lpstr>
      <vt:lpstr>ФП05П04</vt:lpstr>
      <vt:lpstr>ФП05П05</vt:lpstr>
      <vt:lpstr>ФП05П06</vt:lpstr>
      <vt:lpstr>ФП05П07</vt:lpstr>
      <vt:lpstr>ФП05П08</vt:lpstr>
      <vt:lpstr>ФП05П09</vt:lpstr>
      <vt:lpstr>ФП05П10</vt:lpstr>
      <vt:lpstr>ФП05П11</vt:lpstr>
      <vt:lpstr>ФП05П12</vt:lpstr>
      <vt:lpstr>ФП05П13</vt:lpstr>
      <vt:lpstr>ФП05П14</vt:lpstr>
      <vt:lpstr>ФП05П15</vt:lpstr>
      <vt:lpstr>ФП05П16</vt:lpstr>
      <vt:lpstr>ФП05П17</vt:lpstr>
      <vt:lpstr>ФП05П18</vt:lpstr>
      <vt:lpstr>ФП05П19</vt:lpstr>
      <vt:lpstr>ФП05П20</vt:lpstr>
      <vt:lpstr>ФП05пр</vt:lpstr>
      <vt:lpstr>ФП05прКоэф</vt:lpstr>
      <vt:lpstr>ФП05Уср</vt:lpstr>
      <vt:lpstr>ФП06</vt:lpstr>
      <vt:lpstr>ФП06БаллИтог</vt:lpstr>
      <vt:lpstr>ФП06Коэф</vt:lpstr>
      <vt:lpstr>ФП06П01</vt:lpstr>
      <vt:lpstr>ФП06П02</vt:lpstr>
      <vt:lpstr>ФП06П03</vt:lpstr>
      <vt:lpstr>ФП06П04</vt:lpstr>
      <vt:lpstr>ФП06П05</vt:lpstr>
      <vt:lpstr>ФП06П06</vt:lpstr>
      <vt:lpstr>ФП06П07</vt:lpstr>
      <vt:lpstr>ФП06П08</vt:lpstr>
      <vt:lpstr>ФП06П09</vt:lpstr>
      <vt:lpstr>ФП06П10</vt:lpstr>
      <vt:lpstr>ФП06П11</vt:lpstr>
      <vt:lpstr>ФП06П12</vt:lpstr>
      <vt:lpstr>ФП06П13</vt:lpstr>
      <vt:lpstr>ФП06П14</vt:lpstr>
      <vt:lpstr>ФП06П15</vt:lpstr>
      <vt:lpstr>ФП06П16</vt:lpstr>
      <vt:lpstr>ФП06П17</vt:lpstr>
      <vt:lpstr>ФП06П18</vt:lpstr>
      <vt:lpstr>ФП06П19</vt:lpstr>
      <vt:lpstr>ФП06П20</vt:lpstr>
      <vt:lpstr>ФП06пр</vt:lpstr>
      <vt:lpstr>ФП06прКоэф</vt:lpstr>
      <vt:lpstr>ФП06Уср</vt:lpstr>
      <vt:lpstr>ФП07</vt:lpstr>
      <vt:lpstr>ФП07БаллИтог</vt:lpstr>
      <vt:lpstr>ФП07Коэф</vt:lpstr>
      <vt:lpstr>ФП07П01</vt:lpstr>
      <vt:lpstr>ФП07П02</vt:lpstr>
      <vt:lpstr>ФП07П03</vt:lpstr>
      <vt:lpstr>ФП07П04</vt:lpstr>
      <vt:lpstr>ФП07П05</vt:lpstr>
      <vt:lpstr>ФП07П06</vt:lpstr>
      <vt:lpstr>ФП07П07</vt:lpstr>
      <vt:lpstr>ФП07П08</vt:lpstr>
      <vt:lpstr>ФП07П09</vt:lpstr>
      <vt:lpstr>ФП07П10</vt:lpstr>
      <vt:lpstr>ФП07П11</vt:lpstr>
      <vt:lpstr>ФП07П12</vt:lpstr>
      <vt:lpstr>ФП07П13</vt:lpstr>
      <vt:lpstr>ФП07П14</vt:lpstr>
      <vt:lpstr>ФП07П15</vt:lpstr>
      <vt:lpstr>ФП07П16</vt:lpstr>
      <vt:lpstr>ФП07П17</vt:lpstr>
      <vt:lpstr>ФП07П18</vt:lpstr>
      <vt:lpstr>ФП07П19</vt:lpstr>
      <vt:lpstr>ФП07П20</vt:lpstr>
      <vt:lpstr>ФП07пр</vt:lpstr>
      <vt:lpstr>ФП07прКоэф</vt:lpstr>
      <vt:lpstr>ФП07Уср</vt:lpstr>
      <vt:lpstr>ФП08</vt:lpstr>
      <vt:lpstr>ФП08БаллИтог</vt:lpstr>
      <vt:lpstr>ФП08Коэф</vt:lpstr>
      <vt:lpstr>ФП08П01</vt:lpstr>
      <vt:lpstr>ФП08П02</vt:lpstr>
      <vt:lpstr>ФП08П03</vt:lpstr>
      <vt:lpstr>ФП08П04</vt:lpstr>
      <vt:lpstr>ФП08П05</vt:lpstr>
      <vt:lpstr>ФП08П06</vt:lpstr>
      <vt:lpstr>ФП08П07</vt:lpstr>
      <vt:lpstr>ФП08П08</vt:lpstr>
      <vt:lpstr>ФП08П09</vt:lpstr>
      <vt:lpstr>ФП08П10</vt:lpstr>
      <vt:lpstr>ФП08П11</vt:lpstr>
      <vt:lpstr>ФП08П12</vt:lpstr>
      <vt:lpstr>ФП08П13</vt:lpstr>
      <vt:lpstr>ФП08П14</vt:lpstr>
      <vt:lpstr>ФП08П15</vt:lpstr>
      <vt:lpstr>ФП08П16</vt:lpstr>
      <vt:lpstr>ФП08П17</vt:lpstr>
      <vt:lpstr>ФП08П18</vt:lpstr>
      <vt:lpstr>ФП08П19</vt:lpstr>
      <vt:lpstr>ФП08П20</vt:lpstr>
      <vt:lpstr>ФП08пр</vt:lpstr>
      <vt:lpstr>ФП08прКоэф</vt:lpstr>
      <vt:lpstr>ФП08Уср</vt:lpstr>
      <vt:lpstr>ФП09</vt:lpstr>
      <vt:lpstr>ФП09БаллИтог</vt:lpstr>
      <vt:lpstr>ФП09Коэф</vt:lpstr>
      <vt:lpstr>ФП09П01</vt:lpstr>
      <vt:lpstr>ФП09П02</vt:lpstr>
      <vt:lpstr>ФП09П03</vt:lpstr>
      <vt:lpstr>ФП09П04</vt:lpstr>
      <vt:lpstr>ФП09П05</vt:lpstr>
      <vt:lpstr>ФП09П06</vt:lpstr>
      <vt:lpstr>ФП09П07</vt:lpstr>
      <vt:lpstr>ФП09П08</vt:lpstr>
      <vt:lpstr>ФП09П09</vt:lpstr>
      <vt:lpstr>ФП09П10</vt:lpstr>
      <vt:lpstr>ФП09П11</vt:lpstr>
      <vt:lpstr>ФП09П12</vt:lpstr>
      <vt:lpstr>ФП09П13</vt:lpstr>
      <vt:lpstr>ФП09П14</vt:lpstr>
      <vt:lpstr>ФП09П15</vt:lpstr>
      <vt:lpstr>ФП09П16</vt:lpstr>
      <vt:lpstr>ФП09П17</vt:lpstr>
      <vt:lpstr>ФП09П18</vt:lpstr>
      <vt:lpstr>ФП09П19</vt:lpstr>
      <vt:lpstr>ФП09П20</vt:lpstr>
      <vt:lpstr>ФП09пр</vt:lpstr>
      <vt:lpstr>ФП09прКоэф</vt:lpstr>
      <vt:lpstr>ФП09Уср</vt:lpstr>
      <vt:lpstr>ФП10</vt:lpstr>
      <vt:lpstr>ФП10БаллИтог</vt:lpstr>
      <vt:lpstr>ФП10Коэф</vt:lpstr>
      <vt:lpstr>ФП10П01</vt:lpstr>
      <vt:lpstr>ФП10П02</vt:lpstr>
      <vt:lpstr>ФП10П03</vt:lpstr>
      <vt:lpstr>ФП10П04</vt:lpstr>
      <vt:lpstr>ФП10П05</vt:lpstr>
      <vt:lpstr>ФП10П06</vt:lpstr>
      <vt:lpstr>ФП10П07</vt:lpstr>
      <vt:lpstr>ФП10П08</vt:lpstr>
      <vt:lpstr>ФП10П09</vt:lpstr>
      <vt:lpstr>ФП10П10</vt:lpstr>
      <vt:lpstr>ФП10П11</vt:lpstr>
      <vt:lpstr>ФП10П12</vt:lpstr>
      <vt:lpstr>ФП10П13</vt:lpstr>
      <vt:lpstr>ФП10П14</vt:lpstr>
      <vt:lpstr>ФП10П15</vt:lpstr>
      <vt:lpstr>ФП10П16</vt:lpstr>
      <vt:lpstr>ФП10П17</vt:lpstr>
      <vt:lpstr>ФП10П18</vt:lpstr>
      <vt:lpstr>ФП10П19</vt:lpstr>
      <vt:lpstr>ФП10П20</vt:lpstr>
      <vt:lpstr>ФП10пр</vt:lpstr>
      <vt:lpstr>ФП10прКоэф</vt:lpstr>
      <vt:lpstr>ФП10Уср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Щербаков;ИнКонТех;ООО "Энергосервис"</dc:creator>
  <cp:lastModifiedBy>Чубаров С.</cp:lastModifiedBy>
  <cp:lastPrinted>2017-12-15T05:48:05Z</cp:lastPrinted>
  <dcterms:created xsi:type="dcterms:W3CDTF">2017-07-24T12:59:39Z</dcterms:created>
  <dcterms:modified xsi:type="dcterms:W3CDTF">2021-06-07T21:37:13Z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