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chubarov/Downloads/Альбом типовых форм_sent_31.05.2021/Альбом типовых форм_мастер_правк/"/>
    </mc:Choice>
  </mc:AlternateContent>
  <xr:revisionPtr revIDLastSave="0" documentId="13_ncr:1_{CF9F5F70-4F6F-D74A-BDDE-B42181F13289}" xr6:coauthVersionLast="47" xr6:coauthVersionMax="47" xr10:uidLastSave="{00000000-0000-0000-0000-000000000000}"/>
  <bookViews>
    <workbookView xWindow="1480" yWindow="500" windowWidth="24120" windowHeight="15500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данных'!$F$36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данных'!$F$6</definedName>
    <definedName name="Стр1100">'Ввод данных'!$D$12</definedName>
    <definedName name="Стр1100пр">'Ввод данных'!$E$12</definedName>
    <definedName name="Стр1150">'Ввод данных'!$D$10</definedName>
    <definedName name="Стр1150пр">'Ввод данных'!$E$10</definedName>
    <definedName name="Стр1230">'Ввод данных'!$D$14</definedName>
    <definedName name="Стр1230пр">'Ввод данных'!$E$14</definedName>
    <definedName name="Стр1240">'Ввод данных'!#REF!</definedName>
    <definedName name="Стр1240пр">'Ввод данных'!#REF!</definedName>
    <definedName name="Стр1250">'Ввод данных'!$D$15</definedName>
    <definedName name="Стр1250пр">'Ввод данных'!$E$15</definedName>
    <definedName name="Стр1300">'Ввод данных'!$D$18</definedName>
    <definedName name="Стр1300пр">'Ввод данных'!$E$18</definedName>
    <definedName name="Стр1400">'Ввод данных'!$D$22</definedName>
    <definedName name="Стр1400пр">'Ввод данных'!$E$22</definedName>
    <definedName name="Стр1410">'Ввод данных'!$D$20</definedName>
    <definedName name="Стр1410пр">'Ввод данных'!$E$20</definedName>
    <definedName name="Стр1500">'Ввод данных'!$D$27</definedName>
    <definedName name="Стр1500пр">'Ввод данных'!$E$27</definedName>
    <definedName name="Стр1510">'Ввод данных'!$D$24</definedName>
    <definedName name="Стр1510пр">'Ввод данных'!$E$24</definedName>
    <definedName name="Стр1520">'Ввод данных'!$D$25</definedName>
    <definedName name="Стр1520пр">'Ввод данных'!$E$25</definedName>
    <definedName name="Стр1600">'Ввод данных'!$D$16</definedName>
    <definedName name="Стр1600пр">'Ввод данных'!$E$16</definedName>
    <definedName name="Стр1700">'Ввод данных'!$D$28</definedName>
    <definedName name="Стр1700пр">'Ввод данных'!$E$28</definedName>
    <definedName name="Стр2110">'Ввод данных'!$D$30</definedName>
    <definedName name="Стр2110пр">'Ввод данных'!$E$30</definedName>
    <definedName name="Стр2300">'Ввод данных'!$D$32</definedName>
    <definedName name="Стр2300пр">'Ввод данных'!$E$32</definedName>
    <definedName name="Стр2330">'Ввод данных'!$D$31</definedName>
    <definedName name="Стр2330пр">'Ввод данных'!$E$31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данных'!#REF!</definedName>
    <definedName name="Тип3Вес2">'Ввод данных'!#REF!</definedName>
    <definedName name="Тип3Вес3">'Ввод данных'!#REF!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M10" i="2" s="1"/>
  <c r="N10" i="2" s="1"/>
  <c r="D32" i="1"/>
  <c r="E27" i="1"/>
  <c r="M14" i="2" s="1"/>
  <c r="N14" i="2" s="1"/>
  <c r="D27" i="1"/>
  <c r="J14" i="2" s="1"/>
  <c r="K14" i="2" s="1"/>
  <c r="E22" i="1"/>
  <c r="M15" i="2" s="1"/>
  <c r="N15" i="2" s="1"/>
  <c r="D22" i="1"/>
  <c r="D12" i="1"/>
  <c r="E12" i="1"/>
  <c r="M18" i="2"/>
  <c r="N18" i="2" s="1"/>
  <c r="J18" i="2"/>
  <c r="K18" i="2" s="1"/>
  <c r="M17" i="2"/>
  <c r="N17" i="2" s="1"/>
  <c r="J17" i="2"/>
  <c r="K17" i="2" s="1"/>
  <c r="M16" i="2"/>
  <c r="N16" i="2" s="1"/>
  <c r="J16" i="2"/>
  <c r="K16" i="2" s="1"/>
  <c r="M13" i="2"/>
  <c r="N13" i="2" s="1"/>
  <c r="J13" i="2"/>
  <c r="K13" i="2" s="1"/>
  <c r="M12" i="2"/>
  <c r="N12" i="2" s="1"/>
  <c r="J12" i="2"/>
  <c r="K12" i="2" s="1"/>
  <c r="M11" i="2"/>
  <c r="N11" i="2" s="1"/>
  <c r="J11" i="2"/>
  <c r="K11" i="2" s="1"/>
  <c r="J10" i="2"/>
  <c r="K10" i="2" s="1"/>
  <c r="E7" i="1"/>
  <c r="F6" i="1"/>
  <c r="C6" i="1"/>
  <c r="M9" i="2" l="1"/>
  <c r="N9" i="2" s="1"/>
  <c r="J9" i="2"/>
  <c r="K9" i="2" s="1"/>
  <c r="J15" i="2"/>
  <c r="K15" i="2" s="1"/>
  <c r="P15" i="2" s="1"/>
  <c r="R15" i="2" s="1"/>
  <c r="P17" i="2"/>
  <c r="R17" i="2" s="1"/>
  <c r="P13" i="2"/>
  <c r="R13" i="2" s="1"/>
  <c r="P10" i="2"/>
  <c r="R10" i="2" s="1"/>
  <c r="P18" i="2"/>
  <c r="R18" i="2" s="1"/>
  <c r="P11" i="2"/>
  <c r="R11" i="2" s="1"/>
  <c r="P16" i="2"/>
  <c r="R16" i="2" s="1"/>
  <c r="P12" i="2"/>
  <c r="R12" i="2" s="1"/>
  <c r="P14" i="2"/>
  <c r="R14" i="2" s="1"/>
  <c r="P9" i="2" l="1"/>
  <c r="R9" i="2" s="1"/>
  <c r="C2" i="2" s="1"/>
  <c r="B5" i="2"/>
  <c r="D3" i="2" l="1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8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5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rgb="FF000000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<sst xmlns="http://schemas.openxmlformats.org/spreadsheetml/2006/main" count="251" uniqueCount="131">
  <si>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</si>
  <si>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</si>
  <si>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</si>
  <si>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</si>
  <si>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</si>
  <si>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</si>
  <si>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</si>
  <si>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</si>
  <si>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</si>
  <si>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</si>
  <si>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</si>
  <si>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</si>
  <si>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</si>
  <si>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</si>
  <si>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</si>
  <si>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</si>
  <si>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</si>
  <si>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</si>
  <si>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</si>
  <si>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</si>
  <si>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</si>
  <si>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</si>
  <si>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</si>
  <si>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</si>
  <si>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</si>
  <si>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</si>
  <si>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</si>
  <si>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</si>
  <si>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</si>
  <si>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</si>
  <si>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</si>
  <si>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</si>
  <si>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</si>
  <si>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</si>
  <si>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</si>
  <si>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</si>
  <si>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</si>
  <si>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</si>
  <si>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</si>
  <si>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</si>
  <si>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</si>
  <si>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</si>
  <si>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</si>
  <si>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</si>
  <si>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</si>
  <si>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</si>
  <si>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</si>
  <si>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</si>
  <si>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</si>
  <si>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</si>
  <si>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</si>
  <si>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</si>
  <si>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</si>
  <si>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</si>
  <si>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</si>
  <si>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</si>
  <si>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</si>
  <si>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</si>
  <si>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</si>
  <si>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</si>
  <si>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</si>
  <si>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</si>
  <si>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</si>
  <si>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</si>
  <si>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</si>
  <si>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</si>
  <si>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</si>
  <si>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</si>
  <si>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</si>
  <si>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</si>
  <si>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</si>
  <si>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</si>
  <si>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</si>
  <si>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</si>
  <si>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</si>
  <si>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</si>
  <si>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</si>
  <si>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</si>
  <si>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</si>
  <si>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</si>
  <si>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</si>
  <si>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</si>
  <si>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</si>
  <si>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</si>
  <si>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</si>
  <si>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</si>
  <si>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</si>
  <si>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</si>
  <si>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</si>
  <si>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</si>
  <si>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</si>
  <si>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</si>
  <si>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</si>
  <si>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</si>
  <si>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</si>
  <si>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</si>
  <si>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</si>
  <si>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</si>
  <si>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</si>
  <si>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</si>
  <si>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</si>
  <si>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</si>
  <si>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</si>
  <si>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</si>
  <si>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</si>
  <si>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</si>
  <si>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</si>
  <si>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</si>
  <si>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</si>
  <si>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</si>
  <si>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</si>
  <si>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</si>
  <si>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</si>
  <si>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</si>
  <si>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</si>
  <si>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</si>
  <si>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</si>
  <si>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</si>
  <si>
    <t xml:space="preserve"> </t>
  </si>
  <si>
    <t>Предложенная в заявке цена договора 
в рублях без НДС</t>
  </si>
  <si>
    <r>
      <t xml:space="preserve">Бухгалтерский баланс (форма по ОКУД 0710001)
</t>
    </r>
    <r>
      <rPr>
        <b/>
        <sz val="11"/>
        <color rgb="FFFF0000"/>
        <rFont val="Calibri (Основной текст)"/>
        <charset val="204"/>
      </rPr>
      <t>(УПРОЩЕННЫЕ ФОРМЫ БАЛАНСА)</t>
    </r>
  </si>
  <si>
    <t xml:space="preserve">Нематериальные, финансовые и другие внеоборотные активы (включая результаты исследований и разработок, незавершенные вложения в нематериальные активы, исследования и разработки, отложенные налоговые активы) </t>
  </si>
  <si>
    <t>1170</t>
  </si>
  <si>
    <t>Другие долгосрочные обязательства</t>
  </si>
  <si>
    <t>1450</t>
  </si>
  <si>
    <t>Другие краткосрочные обязательства</t>
  </si>
  <si>
    <t>1550</t>
  </si>
  <si>
    <t>Налоги на прибыль (доходы) (включая текущий налог 
на прибыль, изменение отложенных налоговых 
обязательств и активов)</t>
  </si>
  <si>
    <t>2410</t>
  </si>
  <si>
    <t>Чистая прибыль (убыток)</t>
  </si>
  <si>
    <t>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</si>
</sst>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8"/>
      <color rgb="FF000000"/>
      <name val="Segoe UI"/>
      <charset val="1"/>
    </font>
    <font>
      <b/>
      <sz val="11"/>
      <color rgb="FFFF0000"/>
      <name val="Calibri (Основной текст)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rgb="FF0070C0"/>
      </bottom>
      <diagonal/>
    </border>
    <border>
      <left style="medium">
        <color theme="4"/>
      </left>
      <right style="medium">
        <color theme="4"/>
      </right>
      <top/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</borders>
  <cellStyleXfs count="1">
    <xf numFmtId="0" fontId="0" fillId="0" borderId="0"/>
  </cellStyleXfs>
  <cellXfs count="195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7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2" fillId="0" borderId="0" xfId="0" applyFont="1"/>
    <xf numFmtId="166" fontId="22" fillId="0" borderId="8" xfId="0" applyNumberFormat="1" applyFont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4" fontId="23" fillId="0" borderId="42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4" fontId="23" fillId="0" borderId="43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165" fontId="23" fillId="0" borderId="44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2" fillId="4" borderId="13" xfId="0" applyNumberFormat="1" applyFont="1" applyFill="1" applyBorder="1" applyAlignment="1">
      <alignment horizontal="center" vertical="center"/>
    </xf>
    <xf numFmtId="165" fontId="22" fillId="4" borderId="9" xfId="0" applyNumberFormat="1" applyFont="1" applyFill="1" applyBorder="1" applyAlignment="1">
      <alignment horizontal="center" vertical="center"/>
    </xf>
    <xf numFmtId="165" fontId="22" fillId="4" borderId="8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4" fontId="22" fillId="4" borderId="9" xfId="0" applyNumberFormat="1" applyFont="1" applyFill="1" applyBorder="1" applyAlignment="1">
      <alignment horizontal="center" vertical="center"/>
    </xf>
    <xf numFmtId="4" fontId="22" fillId="4" borderId="8" xfId="0" applyNumberFormat="1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>
      <alignment horizontal="center" vertical="center"/>
    </xf>
    <xf numFmtId="49" fontId="26" fillId="4" borderId="33" xfId="0" applyNumberFormat="1" applyFont="1" applyFill="1" applyBorder="1" applyAlignment="1">
      <alignment horizontal="center" vertical="center"/>
    </xf>
    <xf numFmtId="49" fontId="26" fillId="4" borderId="34" xfId="0" applyNumberFormat="1" applyFont="1" applyFill="1" applyBorder="1" applyAlignment="1">
      <alignment horizontal="center" vertical="center"/>
    </xf>
    <xf numFmtId="49" fontId="26" fillId="4" borderId="32" xfId="0" applyNumberFormat="1" applyFont="1" applyFill="1" applyBorder="1" applyAlignment="1">
      <alignment horizontal="center" vertical="center"/>
    </xf>
    <xf numFmtId="49" fontId="26" fillId="4" borderId="14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49" fontId="26" fillId="5" borderId="14" xfId="0" applyNumberFormat="1" applyFont="1" applyFill="1" applyBorder="1" applyAlignment="1">
      <alignment horizontal="center" vertical="center"/>
    </xf>
    <xf numFmtId="49" fontId="26" fillId="5" borderId="4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49" fontId="26" fillId="6" borderId="8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1" fillId="0" borderId="13" xfId="0" applyNumberFormat="1" applyFont="1" applyBorder="1" applyAlignment="1" applyProtection="1">
      <alignment horizontal="left" vertical="center" wrapText="1" indent="1"/>
    </xf>
    <xf numFmtId="49" fontId="21" fillId="0" borderId="14" xfId="0" applyNumberFormat="1" applyFont="1" applyBorder="1" applyAlignment="1" applyProtection="1">
      <alignment horizontal="left" vertical="center" wrapText="1" indent="1"/>
    </xf>
    <xf numFmtId="0" fontId="22" fillId="0" borderId="15" xfId="0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1" fillId="0" borderId="8" xfId="0" applyNumberFormat="1" applyFont="1" applyBorder="1" applyAlignment="1" applyProtection="1">
      <alignment horizontal="left" vertical="center" wrapText="1" indent="1"/>
    </xf>
    <xf numFmtId="49" fontId="21" fillId="0" borderId="4" xfId="0" applyNumberFormat="1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vertical="center"/>
    </xf>
    <xf numFmtId="49" fontId="21" fillId="0" borderId="10" xfId="0" applyNumberFormat="1" applyFont="1" applyBorder="1" applyAlignment="1" applyProtection="1">
      <alignment horizontal="left" vertical="center" wrapText="1" indent="1"/>
    </xf>
    <xf numFmtId="49" fontId="21" fillId="0" borderId="11" xfId="0" applyNumberFormat="1" applyFont="1" applyBorder="1" applyAlignment="1" applyProtection="1">
      <alignment horizontal="left" vertical="center" wrapText="1" indent="1"/>
    </xf>
    <xf numFmtId="0" fontId="22" fillId="0" borderId="12" xfId="0" applyFont="1" applyBorder="1" applyAlignment="1" applyProtection="1">
      <alignment vertical="center"/>
    </xf>
    <xf numFmtId="165" fontId="22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2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right" vertical="top" indent="1"/>
    </xf>
    <xf numFmtId="3" fontId="29" fillId="0" borderId="0" xfId="0" applyNumberFormat="1" applyFont="1" applyAlignment="1" applyProtection="1">
      <alignment horizontal="left" vertical="top"/>
    </xf>
    <xf numFmtId="0" fontId="30" fillId="0" borderId="0" xfId="0" applyFont="1" applyAlignment="1">
      <alignment horizontal="left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164" fontId="0" fillId="0" borderId="33" xfId="0" applyNumberFormat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center" vertical="center" wrapText="1"/>
    </xf>
    <xf numFmtId="0" fontId="1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164" fontId="0" fillId="0" borderId="59" xfId="0" applyNumberFormat="1" applyBorder="1" applyAlignment="1" applyProtection="1">
      <alignment horizontal="center" vertical="center" wrapText="1"/>
    </xf>
    <xf numFmtId="164" fontId="0" fillId="0" borderId="60" xfId="0" applyNumberFormat="1" applyBorder="1" applyAlignment="1" applyProtection="1">
      <alignment horizontal="center" vertical="center" wrapText="1"/>
    </xf>
    <xf numFmtId="49" fontId="0" fillId="9" borderId="19" xfId="0" applyNumberFormat="1" applyFill="1" applyBorder="1" applyAlignment="1">
      <alignment horizontal="left" vertical="center" wrapText="1" indent="2"/>
    </xf>
    <xf numFmtId="49" fontId="0" fillId="9" borderId="1" xfId="0" applyNumberFormat="1" applyFill="1" applyBorder="1" applyAlignment="1">
      <alignment horizontal="center" vertical="center" wrapText="1"/>
    </xf>
    <xf numFmtId="49" fontId="0" fillId="9" borderId="21" xfId="0" applyNumberFormat="1" applyFill="1" applyBorder="1" applyAlignment="1">
      <alignment horizontal="left" vertical="center" wrapText="1" indent="2"/>
    </xf>
    <xf numFmtId="49" fontId="0" fillId="9" borderId="3" xfId="0" applyNumberForma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 applyProtection="1">
      <alignment horizontal="center" vertical="center" wrapText="1"/>
    </xf>
    <xf numFmtId="3" fontId="2" fillId="9" borderId="22" xfId="0" applyNumberFormat="1" applyFont="1" applyFill="1" applyBorder="1" applyAlignment="1" applyProtection="1">
      <alignment horizontal="center" vertical="center" wrapText="1"/>
    </xf>
    <xf numFmtId="3" fontId="2" fillId="9" borderId="1" xfId="0" applyNumberFormat="1" applyFont="1" applyFill="1" applyBorder="1" applyAlignment="1" applyProtection="1">
      <alignment horizontal="center" vertical="center" wrapText="1"/>
    </xf>
    <xf numFmtId="3" fontId="2" fillId="9" borderId="20" xfId="0" applyNumberFormat="1" applyFont="1" applyFill="1" applyBorder="1" applyAlignment="1" applyProtection="1">
      <alignment horizontal="center" vertical="center" wrapText="1"/>
    </xf>
    <xf numFmtId="0" fontId="33" fillId="8" borderId="0" xfId="0" applyFont="1" applyFill="1" applyAlignment="1">
      <alignment horizontal="left" wrapText="1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2" fontId="14" fillId="7" borderId="25" xfId="0" applyNumberFormat="1" applyFont="1" applyFill="1" applyBorder="1" applyAlignment="1">
      <alignment horizontal="center" vertical="center" wrapText="1"/>
    </xf>
    <xf numFmtId="2" fontId="14" fillId="7" borderId="3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7" borderId="45" xfId="0" applyFont="1" applyFill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5" fontId="27" fillId="5" borderId="38" xfId="0" applyNumberFormat="1" applyFont="1" applyFill="1" applyBorder="1" applyAlignment="1">
      <alignment horizontal="center" vertical="center"/>
    </xf>
    <xf numFmtId="165" fontId="27" fillId="5" borderId="40" xfId="0" applyNumberFormat="1" applyFont="1" applyFill="1" applyBorder="1" applyAlignment="1">
      <alignment horizontal="center" vertical="center"/>
    </xf>
    <xf numFmtId="165" fontId="27" fillId="5" borderId="39" xfId="0" applyNumberFormat="1" applyFont="1" applyFill="1" applyBorder="1" applyAlignment="1">
      <alignment horizontal="center" vertical="center"/>
    </xf>
    <xf numFmtId="165" fontId="27" fillId="6" borderId="38" xfId="0" applyNumberFormat="1" applyFont="1" applyFill="1" applyBorder="1" applyAlignment="1">
      <alignment horizontal="center" vertical="center"/>
    </xf>
    <xf numFmtId="165" fontId="27" fillId="6" borderId="39" xfId="0" applyNumberFormat="1" applyFont="1" applyFill="1" applyBorder="1" applyAlignment="1">
      <alignment horizontal="center" vertical="center"/>
    </xf>
    <xf numFmtId="165" fontId="27" fillId="4" borderId="41" xfId="0" applyNumberFormat="1" applyFont="1" applyFill="1" applyBorder="1" applyAlignment="1">
      <alignment horizontal="center" vertical="center"/>
    </xf>
    <xf numFmtId="165" fontId="27" fillId="4" borderId="39" xfId="0" applyNumberFormat="1" applyFont="1" applyFill="1" applyBorder="1" applyAlignment="1">
      <alignment horizontal="center" vertical="center"/>
    </xf>
    <xf numFmtId="165" fontId="27" fillId="4" borderId="38" xfId="0" applyNumberFormat="1" applyFont="1" applyFill="1" applyBorder="1" applyAlignment="1">
      <alignment horizontal="center" vertical="center"/>
    </xf>
    <xf numFmtId="165" fontId="27" fillId="4" borderId="4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List" dx="22" fmlaLink="$F$36" fmlaRange="$F$37:$F$38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1</xdr:rowOff>
        </xdr:from>
        <xdr:to>
          <xdr:col>1</xdr:col>
          <xdr:colOff>4238625</xdr:colOff>
          <xdr:row>4</xdr:row>
          <xdr:rowOff>221483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51155" y="1107441"/>
              <a:ext cx="4171950" cy="475482"/>
              <a:chOff x="315624" y="1255571"/>
              <a:chExt cx="4171950" cy="47755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1"/>
                <a:ext cx="417195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5"/>
                <a:ext cx="4171950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35</xdr:row>
          <xdr:rowOff>50800</xdr:rowOff>
        </xdr:from>
        <xdr:to>
          <xdr:col>4</xdr:col>
          <xdr:colOff>101600</xdr:colOff>
          <xdr:row>35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194878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Ден_средства_и_эквиваленты)/(Краткосрочные_обязательства)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623916</xdr:colOff>
      <xdr:row>13</xdr:row>
      <xdr:rowOff>190831</xdr:rowOff>
    </xdr:from>
    <xdr:ext cx="33938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Стр1250/Стр1500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showGridLines="0" tabSelected="1" topLeftCell="A21" zoomScale="125" zoomScaleNormal="85" workbookViewId="0">
      <selection activeCell="D34" sqref="D34"/>
    </sheetView>
  </sheetViews>
  <sheetFormatPr baseColWidth="10" defaultColWidth="8.83203125" defaultRowHeight="15" x14ac:dyDescent="0.2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" customHeight="1" thickBot="1" x14ac:dyDescent="0.25">
      <c r="B1" s="151" t="s">
        <v>116</v>
      </c>
      <c r="C1" s="152"/>
      <c r="D1" s="152"/>
      <c r="E1" s="152"/>
    </row>
    <row r="2" spans="2:7" ht="15" customHeight="1" x14ac:dyDescent="0.2">
      <c r="B2" s="138" t="s">
        <v>23</v>
      </c>
      <c r="C2" s="157" t="s">
        <v>24</v>
      </c>
      <c r="D2" s="158"/>
      <c r="E2" s="159"/>
    </row>
    <row r="3" spans="2:7" ht="37" thickBot="1" x14ac:dyDescent="0.25">
      <c r="B3" s="139"/>
      <c r="C3" s="135" t="s">
        <v>25</v>
      </c>
      <c r="D3" s="6" t="s">
        <v>26</v>
      </c>
      <c r="E3" s="7" t="s">
        <v>27</v>
      </c>
    </row>
    <row r="4" spans="2:7" ht="20" customHeight="1" x14ac:dyDescent="0.2">
      <c r="B4" s="140"/>
      <c r="C4" s="136">
        <v>0.33300000000000002</v>
      </c>
      <c r="D4" s="49">
        <v>0.66700000000000004</v>
      </c>
      <c r="E4" s="50">
        <v>0</v>
      </c>
      <c r="F4" s="53">
        <v>1</v>
      </c>
      <c r="G4" s="14"/>
    </row>
    <row r="5" spans="2:7" ht="20" customHeight="1" thickBot="1" x14ac:dyDescent="0.25">
      <c r="B5" s="141"/>
      <c r="C5" s="137">
        <v>0</v>
      </c>
      <c r="D5" s="51">
        <v>1</v>
      </c>
      <c r="E5" s="52">
        <v>0</v>
      </c>
      <c r="F5" s="14"/>
      <c r="G5" s="14"/>
    </row>
    <row r="6" spans="2:7" ht="30" customHeight="1" x14ac:dyDescent="0.2">
      <c r="C6" s="160" t="str">
        <f>IF(ТипУчастника=1,"","Итоговая оценка в баллах
будет дополнительно уменьшена на 25%")</f>
        <v/>
      </c>
      <c r="D6" s="160"/>
      <c r="E6" s="160"/>
      <c r="F6" s="5">
        <f>IF(ТипУчастника=1,0%,25%)</f>
        <v>0</v>
      </c>
    </row>
    <row r="7" spans="2:7" ht="20" customHeight="1" thickBot="1" x14ac:dyDescent="0.25">
      <c r="D7" s="18" t="s">
        <v>28</v>
      </c>
      <c r="E7" s="18" t="str">
        <f>IF(ТипУчастника=1,"↓Заполнить↓","")</f>
        <v>↓Заполнить↓</v>
      </c>
    </row>
    <row r="8" spans="2:7" ht="60" customHeight="1" x14ac:dyDescent="0.2">
      <c r="B8" s="8" t="s">
        <v>120</v>
      </c>
      <c r="C8" s="9" t="s">
        <v>115</v>
      </c>
      <c r="D8" s="9" t="s">
        <v>18</v>
      </c>
      <c r="E8" s="10" t="s">
        <v>19</v>
      </c>
    </row>
    <row r="9" spans="2:7" ht="16" x14ac:dyDescent="0.2">
      <c r="B9" s="56" t="s">
        <v>0</v>
      </c>
      <c r="C9" s="2"/>
      <c r="D9" s="4"/>
      <c r="E9" s="11"/>
    </row>
    <row r="10" spans="2:7" ht="16" x14ac:dyDescent="0.2">
      <c r="B10" s="17" t="s">
        <v>1</v>
      </c>
      <c r="C10" s="2">
        <v>1150</v>
      </c>
      <c r="D10" s="45"/>
      <c r="E10" s="46"/>
    </row>
    <row r="11" spans="2:7" ht="50" customHeight="1" x14ac:dyDescent="0.2">
      <c r="B11" s="17" t="s">
        <v>121</v>
      </c>
      <c r="C11" s="2" t="s">
        <v>122</v>
      </c>
      <c r="D11" s="45"/>
      <c r="E11" s="46"/>
    </row>
    <row r="12" spans="2:7" ht="16" x14ac:dyDescent="0.2">
      <c r="B12" s="142" t="s">
        <v>2</v>
      </c>
      <c r="C12" s="143">
        <v>1100</v>
      </c>
      <c r="D12" s="148">
        <f>SUM(D10:D11)</f>
        <v>0</v>
      </c>
      <c r="E12" s="149">
        <f>SUM(E10:E11)</f>
        <v>0</v>
      </c>
    </row>
    <row r="13" spans="2:7" ht="16" x14ac:dyDescent="0.2">
      <c r="B13" s="56" t="s">
        <v>3</v>
      </c>
      <c r="C13" s="2"/>
      <c r="D13" s="4"/>
      <c r="E13" s="11"/>
    </row>
    <row r="14" spans="2:7" ht="16" x14ac:dyDescent="0.2">
      <c r="B14" s="17" t="s">
        <v>4</v>
      </c>
      <c r="C14" s="2">
        <v>1230</v>
      </c>
      <c r="D14" s="45"/>
      <c r="E14" s="46"/>
    </row>
    <row r="15" spans="2:7" ht="16" x14ac:dyDescent="0.2">
      <c r="B15" s="17" t="s">
        <v>5</v>
      </c>
      <c r="C15" s="2">
        <v>1250</v>
      </c>
      <c r="D15" s="45"/>
      <c r="E15" s="46"/>
    </row>
    <row r="16" spans="2:7" ht="16" x14ac:dyDescent="0.2">
      <c r="B16" s="15" t="s">
        <v>6</v>
      </c>
      <c r="C16" s="2">
        <v>1600</v>
      </c>
      <c r="D16" s="45"/>
      <c r="E16" s="46"/>
    </row>
    <row r="17" spans="2:5" ht="16" x14ac:dyDescent="0.2">
      <c r="B17" s="56" t="s">
        <v>29</v>
      </c>
      <c r="C17" s="2"/>
      <c r="D17" s="4"/>
      <c r="E17" s="11"/>
    </row>
    <row r="18" spans="2:5" ht="16" x14ac:dyDescent="0.2">
      <c r="B18" s="17" t="s">
        <v>7</v>
      </c>
      <c r="C18" s="2">
        <v>1300</v>
      </c>
      <c r="D18" s="45"/>
      <c r="E18" s="46"/>
    </row>
    <row r="19" spans="2:5" ht="16" x14ac:dyDescent="0.2">
      <c r="B19" s="56" t="s">
        <v>8</v>
      </c>
      <c r="C19" s="2"/>
      <c r="D19" s="4"/>
      <c r="E19" s="11"/>
    </row>
    <row r="20" spans="2:5" ht="16" x14ac:dyDescent="0.2">
      <c r="B20" s="17" t="s">
        <v>9</v>
      </c>
      <c r="C20" s="2">
        <v>1410</v>
      </c>
      <c r="D20" s="45"/>
      <c r="E20" s="46"/>
    </row>
    <row r="21" spans="2:5" ht="16" x14ac:dyDescent="0.2">
      <c r="B21" s="17" t="s">
        <v>123</v>
      </c>
      <c r="C21" s="2" t="s">
        <v>124</v>
      </c>
      <c r="D21" s="45"/>
      <c r="E21" s="46"/>
    </row>
    <row r="22" spans="2:5" ht="16" x14ac:dyDescent="0.2">
      <c r="B22" s="142" t="s">
        <v>10</v>
      </c>
      <c r="C22" s="143">
        <v>1400</v>
      </c>
      <c r="D22" s="148">
        <f>SUM(D20:D21)</f>
        <v>0</v>
      </c>
      <c r="E22" s="149">
        <f>SUM(E20:E21)</f>
        <v>0</v>
      </c>
    </row>
    <row r="23" spans="2:5" ht="16" x14ac:dyDescent="0.2">
      <c r="B23" s="56" t="s">
        <v>11</v>
      </c>
      <c r="C23" s="2"/>
      <c r="D23" s="4"/>
      <c r="E23" s="11"/>
    </row>
    <row r="24" spans="2:5" ht="16" x14ac:dyDescent="0.2">
      <c r="B24" s="17" t="s">
        <v>9</v>
      </c>
      <c r="C24" s="2">
        <v>1510</v>
      </c>
      <c r="D24" s="45"/>
      <c r="E24" s="46"/>
    </row>
    <row r="25" spans="2:5" ht="16" x14ac:dyDescent="0.2">
      <c r="B25" s="17" t="s">
        <v>12</v>
      </c>
      <c r="C25" s="2">
        <v>1520</v>
      </c>
      <c r="D25" s="45"/>
      <c r="E25" s="46"/>
    </row>
    <row r="26" spans="2:5" ht="16" x14ac:dyDescent="0.2">
      <c r="B26" s="17" t="s">
        <v>125</v>
      </c>
      <c r="C26" s="2" t="s">
        <v>126</v>
      </c>
      <c r="D26" s="45"/>
      <c r="E26" s="46"/>
    </row>
    <row r="27" spans="2:5" ht="16" x14ac:dyDescent="0.2">
      <c r="B27" s="142" t="s">
        <v>13</v>
      </c>
      <c r="C27" s="143">
        <v>1500</v>
      </c>
      <c r="D27" s="148">
        <f>SUM(D24:D26)</f>
        <v>0</v>
      </c>
      <c r="E27" s="149">
        <f>SUM(E24:E26)</f>
        <v>0</v>
      </c>
    </row>
    <row r="28" spans="2:5" ht="17" thickBot="1" x14ac:dyDescent="0.25">
      <c r="B28" s="16" t="s">
        <v>6</v>
      </c>
      <c r="C28" s="3">
        <v>1700</v>
      </c>
      <c r="D28" s="47"/>
      <c r="E28" s="48"/>
    </row>
    <row r="29" spans="2:5" ht="16" x14ac:dyDescent="0.2">
      <c r="B29" s="12" t="s">
        <v>14</v>
      </c>
      <c r="C29" s="1" t="s">
        <v>22</v>
      </c>
      <c r="D29" s="1" t="s">
        <v>20</v>
      </c>
      <c r="E29" s="13" t="s">
        <v>21</v>
      </c>
    </row>
    <row r="30" spans="2:5" ht="16" x14ac:dyDescent="0.2">
      <c r="B30" s="17" t="s">
        <v>15</v>
      </c>
      <c r="C30" s="2">
        <v>2110</v>
      </c>
      <c r="D30" s="45"/>
      <c r="E30" s="46"/>
    </row>
    <row r="31" spans="2:5" ht="16" x14ac:dyDescent="0.2">
      <c r="B31" s="17" t="s">
        <v>16</v>
      </c>
      <c r="C31" s="2" t="s">
        <v>104</v>
      </c>
      <c r="D31" s="45"/>
      <c r="E31" s="46"/>
    </row>
    <row r="32" spans="2:5" ht="17" thickBot="1" x14ac:dyDescent="0.25">
      <c r="B32" s="144" t="s">
        <v>17</v>
      </c>
      <c r="C32" s="145">
        <v>2300</v>
      </c>
      <c r="D32" s="146">
        <f>SUM(D33:D34)</f>
        <v>0</v>
      </c>
      <c r="E32" s="147">
        <f>SUM(E33:E34)</f>
        <v>0</v>
      </c>
    </row>
    <row r="33" spans="2:6" ht="49" thickBot="1" x14ac:dyDescent="0.25">
      <c r="B33" s="21" t="s">
        <v>127</v>
      </c>
      <c r="C33" s="3" t="s">
        <v>128</v>
      </c>
      <c r="D33" s="47"/>
      <c r="E33" s="48"/>
    </row>
    <row r="34" spans="2:6" ht="17" thickBot="1" x14ac:dyDescent="0.25">
      <c r="B34" s="21" t="s">
        <v>129</v>
      </c>
      <c r="C34" s="3" t="s">
        <v>130</v>
      </c>
      <c r="D34" s="47"/>
      <c r="E34" s="48"/>
    </row>
    <row r="35" spans="2:6" ht="39" customHeight="1" x14ac:dyDescent="0.2">
      <c r="B35" s="163" t="s">
        <v>119</v>
      </c>
      <c r="C35" s="164"/>
      <c r="D35" s="161"/>
      <c r="E35" s="162"/>
    </row>
    <row r="36" spans="2:6" ht="30" customHeight="1" thickBot="1" x14ac:dyDescent="0.25">
      <c r="B36" s="153" t="s">
        <v>101</v>
      </c>
      <c r="C36" s="154"/>
      <c r="D36" s="155"/>
      <c r="E36" s="156"/>
      <c r="F36" s="63">
        <v>2</v>
      </c>
    </row>
    <row r="37" spans="2:6" x14ac:dyDescent="0.2">
      <c r="F37" t="s">
        <v>103</v>
      </c>
    </row>
    <row r="38" spans="2:6" ht="33" customHeight="1" x14ac:dyDescent="0.2">
      <c r="B38" s="150" t="s">
        <v>117</v>
      </c>
      <c r="C38" s="150"/>
      <c r="D38" s="150"/>
      <c r="E38" s="150"/>
      <c r="F38" t="s">
        <v>102</v>
      </c>
    </row>
  </sheetData>
  <sheetProtection algorithmName="SHA-512" hashValue="9+JBCTJq0c+QoDc7wA7vaDkCVIAJCDvxJ3KAWQLH7j4DwLQrULT7XQgBXkd9aPLei2m2XnNPFLocJymCrjtLIg==" saltValue="UfIW3agVJJwgYaffyWTmqQ==" spinCount="100000" sheet="1" formatCells="0" formatColumns="0" formatRows="0"/>
  <mergeCells count="8">
    <mergeCell ref="B38:E38"/>
    <mergeCell ref="B1:E1"/>
    <mergeCell ref="B36:C36"/>
    <mergeCell ref="D36:E36"/>
    <mergeCell ref="C2:E2"/>
    <mergeCell ref="C6:E6"/>
    <mergeCell ref="D35:E35"/>
    <mergeCell ref="B35:C35"/>
  </mergeCells>
  <dataValidations count="7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4:E16 D18:E18 D10:E11 D20:E21 D28:E28 D24:E26 D30:E31 D34 E34" xr:uid="{00000000-0002-0000-0000-000000000000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5:E35" xr:uid="{00000000-0002-0000-0000-000001000000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_x000a_" sqref="D12" xr:uid="{E84D07DE-F9D8-3A47-A55C-C5968E90CAA5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" sqref="E12 D22:E22 D27:E27 E32" xr:uid="{A5BE323B-BE97-1C4A-809A-A846C361C038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." sqref="D32" xr:uid="{E4457724-6B7A-5348-B7DF-5B827BFA1D05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Допускается ввод только целых чисел без знака &quot;-&quot; (минус)_x000a_" sqref="D33" xr:uid="{335AF70E-D1A0-904B-A4B7-77377B8F40BA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Допускается ввод только целых чисел без знака &quot;-&quot; (минус)" sqref="E33" xr:uid="{C079286A-7A89-074A-9EC0-15723C1DD73E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3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0</xdr:rowOff>
                  </from>
                  <to>
                    <xdr:col>1</xdr:col>
                    <xdr:colOff>4241800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0</xdr:rowOff>
                  </from>
                  <to>
                    <xdr:col>1</xdr:col>
                    <xdr:colOff>4241800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35</xdr:row>
                    <xdr:rowOff>50800</xdr:rowOff>
                  </from>
                  <to>
                    <xdr:col>4</xdr:col>
                    <xdr:colOff>101600</xdr:colOff>
                    <xdr:row>35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topLeftCell="F12" zoomScale="185" zoomScaleNormal="85" workbookViewId="0">
      <selection activeCell="M14" sqref="M14"/>
    </sheetView>
  </sheetViews>
  <sheetFormatPr baseColWidth="10" defaultColWidth="8.83203125" defaultRowHeight="15" x14ac:dyDescent="0.2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3203125" customWidth="1"/>
    <col min="10" max="11" width="15.6640625" customWidth="1"/>
    <col min="12" max="12" width="0.83203125" customWidth="1"/>
    <col min="13" max="14" width="15.6640625" customWidth="1"/>
    <col min="15" max="15" width="0.83203125" customWidth="1"/>
    <col min="16" max="16" width="15.6640625" customWidth="1"/>
    <col min="17" max="17" width="0.83203125" customWidth="1"/>
    <col min="18" max="18" width="15.6640625" customWidth="1"/>
    <col min="19" max="20" width="3.6640625" customWidth="1"/>
  </cols>
  <sheetData>
    <row r="1" spans="2:20" ht="16" thickBot="1" x14ac:dyDescent="0.25"/>
    <row r="2" spans="2:20" ht="35" customHeight="1" x14ac:dyDescent="0.2">
      <c r="B2" s="54" t="s">
        <v>98</v>
      </c>
      <c r="C2" s="165">
        <f>ROUND(IF(ТипУчастника=1,AVERAGE(R9:R18),AVERAGE(R9:R18)-AVERAGE(R9:R18)*Регресс),2)</f>
        <v>0</v>
      </c>
      <c r="D2" s="166"/>
      <c r="M2" s="129" t="s">
        <v>109</v>
      </c>
      <c r="N2" s="130">
        <v>15</v>
      </c>
    </row>
    <row r="3" spans="2:20" ht="20" customHeight="1" x14ac:dyDescent="0.2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29" t="s">
        <v>110</v>
      </c>
      <c r="N3" s="130">
        <v>15</v>
      </c>
    </row>
    <row r="4" spans="2:20" ht="55" customHeight="1" x14ac:dyDescent="0.2">
      <c r="B4" s="42" t="s">
        <v>95</v>
      </c>
      <c r="C4" s="43" t="s">
        <v>96</v>
      </c>
      <c r="D4" s="44" t="s">
        <v>97</v>
      </c>
      <c r="M4" s="129" t="s">
        <v>111</v>
      </c>
      <c r="N4" s="130">
        <v>15</v>
      </c>
    </row>
    <row r="5" spans="2:20" ht="25" customHeight="1" thickBot="1" x14ac:dyDescent="0.25">
      <c r="B5" s="178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/>
      </c>
      <c r="C5" s="179"/>
      <c r="D5" s="180"/>
    </row>
    <row r="6" spans="2:20" ht="10" customHeight="1" thickBot="1" x14ac:dyDescent="0.25">
      <c r="B6" s="20"/>
      <c r="C6" s="20"/>
      <c r="D6" s="20"/>
    </row>
    <row r="7" spans="2:20" ht="25" customHeight="1" x14ac:dyDescent="0.2">
      <c r="B7" s="175" t="s">
        <v>40</v>
      </c>
      <c r="C7" s="171" t="s">
        <v>41</v>
      </c>
      <c r="D7" s="171" t="s">
        <v>42</v>
      </c>
      <c r="E7" s="171"/>
      <c r="F7" s="171"/>
      <c r="G7" s="171"/>
      <c r="H7" s="173"/>
      <c r="J7" s="175" t="s">
        <v>53</v>
      </c>
      <c r="K7" s="173"/>
      <c r="M7" s="181" t="s">
        <v>54</v>
      </c>
      <c r="N7" s="182"/>
      <c r="P7" s="183" t="s">
        <v>100</v>
      </c>
      <c r="R7" s="176" t="s">
        <v>94</v>
      </c>
    </row>
    <row r="8" spans="2:20" ht="70" customHeight="1" thickBot="1" x14ac:dyDescent="0.25">
      <c r="B8" s="185"/>
      <c r="C8" s="172"/>
      <c r="D8" s="172"/>
      <c r="E8" s="172"/>
      <c r="F8" s="172"/>
      <c r="G8" s="172"/>
      <c r="H8" s="174"/>
      <c r="J8" s="55" t="s">
        <v>105</v>
      </c>
      <c r="K8" s="7" t="s">
        <v>99</v>
      </c>
      <c r="M8" s="55" t="s">
        <v>105</v>
      </c>
      <c r="N8" s="7" t="s">
        <v>99</v>
      </c>
      <c r="P8" s="184"/>
      <c r="R8" s="177"/>
    </row>
    <row r="9" spans="2:20" ht="45" customHeight="1" x14ac:dyDescent="0.2">
      <c r="B9" s="105" t="s">
        <v>43</v>
      </c>
      <c r="C9" s="106" t="s">
        <v>106</v>
      </c>
      <c r="D9" s="170"/>
      <c r="E9" s="170"/>
      <c r="F9" s="170"/>
      <c r="G9" s="170"/>
      <c r="H9" s="107"/>
      <c r="J9" s="77">
        <f>IFERROR(((Стр1400+Стр1500)/Стр1700)*100,1000)</f>
        <v>1000</v>
      </c>
      <c r="K9" s="78">
        <f xml:space="preserve">
IF(ТипУчастника=1,ФП01*Тип1Вес2,
IF(ТипУчастника=2,ФП01*Тип2Вес2
))</f>
        <v>667</v>
      </c>
      <c r="L9" s="64"/>
      <c r="M9" s="77">
        <f>IFERROR(IF(ТипУчастника=1,((Стр1400пр+Стр1500пр)/Стр1700пр)*100,"–//–"),1000)</f>
        <v>1000</v>
      </c>
      <c r="N9" s="78">
        <f>IF(ТипУчастника=1,ФП01пр*Тип1Вес1,"–//–")</f>
        <v>333</v>
      </c>
      <c r="O9" s="64"/>
      <c r="P9" s="79">
        <f>IF(ТипУчастника=1,ROUND(ФП01Коэф+ФП01прКоэф,Округл1),ROUND(ФП01Коэф,Округл1))</f>
        <v>1000</v>
      </c>
      <c r="Q9" s="64"/>
      <c r="R9" s="80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1" t="s">
        <v>84</v>
      </c>
    </row>
    <row r="10" spans="2:20" ht="45" customHeight="1" x14ac:dyDescent="0.2">
      <c r="B10" s="108" t="s">
        <v>44</v>
      </c>
      <c r="C10" s="109" t="s">
        <v>112</v>
      </c>
      <c r="D10" s="169"/>
      <c r="E10" s="169"/>
      <c r="F10" s="169"/>
      <c r="G10" s="169"/>
      <c r="H10" s="110"/>
      <c r="J10" s="57">
        <f>IFERROR(((Стр2300+ABS(Стр2330))*(1-0.2)/(Стр1300+Стр1410))*100,-1000)</f>
        <v>-1000</v>
      </c>
      <c r="K10" s="58">
        <f xml:space="preserve">
IF(ТипУчастника=1,ФП02*Тип1Вес2,
IF(ТипУчастника=2,ФП02*Тип2Вес2))</f>
        <v>-667</v>
      </c>
      <c r="M10" s="57">
        <f>IFERROR(IF(ТипУчастника=1,((Стр2300пр+ABS(Стр2330пр))*(1-0.2)/(Стр1300пр+Стр1410пр))*100,"–//–"),-1000)</f>
        <v>-1000</v>
      </c>
      <c r="N10" s="58">
        <f>IF(ТипУчастника=1,ФП02пр*Тип1Вес1,"–//–")</f>
        <v>-333</v>
      </c>
      <c r="P10" s="59">
        <f>IF(ТипУчастника=1,ROUND(ФП02Коэф+ФП02прКоэф,Округл1),ROUND(ФП02Коэф,Округл1))</f>
        <v>-1000</v>
      </c>
      <c r="R10" s="62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1" t="s">
        <v>85</v>
      </c>
    </row>
    <row r="11" spans="2:20" ht="45" customHeight="1" x14ac:dyDescent="0.2">
      <c r="B11" s="108" t="s">
        <v>45</v>
      </c>
      <c r="C11" s="109" t="s">
        <v>32</v>
      </c>
      <c r="D11" s="169"/>
      <c r="E11" s="169"/>
      <c r="F11" s="169"/>
      <c r="G11" s="169"/>
      <c r="H11" s="110"/>
      <c r="J11" s="57">
        <f>IFERROR(((Стр1410+Стр1510)-Стр1250)/(Стр2300+ABS(Стр2330)+Стр1150/10),1000)</f>
        <v>1000</v>
      </c>
      <c r="K11" s="58">
        <f xml:space="preserve">
IF(ТипУчастника=1,ФП03*Тип1Вес2,
IF(ТипУчастника=2,ФП03*Тип2Вес2))</f>
        <v>667</v>
      </c>
      <c r="M11" s="57">
        <f>IFERROR(IF(ТипУчастника=1,((Стр1410пр+Стр1510пр)-Стр1250пр)/(Стр2300пр+ABS(Стр2330пр)+Стр1150пр/10),"–//–"),1000)</f>
        <v>1000</v>
      </c>
      <c r="N11" s="58">
        <f>IF(ТипУчастника=1,ФП03пр*Тип1Вес1,"–//–")</f>
        <v>333</v>
      </c>
      <c r="P11" s="61">
        <f>IF(ТипУчастника=1,ROUND(ФП03Коэф+ФП03прКоэф,Округл0),ROUND(ФП03Коэф,Округл0))</f>
        <v>1000</v>
      </c>
      <c r="R11" s="62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1" t="s">
        <v>86</v>
      </c>
    </row>
    <row r="12" spans="2:20" s="64" customFormat="1" ht="45" customHeight="1" x14ac:dyDescent="0.2">
      <c r="B12" s="111" t="s">
        <v>46</v>
      </c>
      <c r="C12" s="112" t="s">
        <v>33</v>
      </c>
      <c r="D12" s="168"/>
      <c r="E12" s="168"/>
      <c r="F12" s="168"/>
      <c r="G12" s="168"/>
      <c r="H12" s="113"/>
      <c r="J12" s="65">
        <f>IFERROR((Стр1230*360)/Стр2110,1000)</f>
        <v>1000</v>
      </c>
      <c r="K12" s="66">
        <f xml:space="preserve">
IF(ТипУчастника=1,ФП04*Тип1Вес2,
IF(ТипУчастника=2,ФП04*Тип2Вес2))</f>
        <v>667</v>
      </c>
      <c r="M12" s="65">
        <f>IFERROR(IF(ТипУчастника=1,(Стр1230пр*360)/Стр2110пр,"–//–"),1000)</f>
        <v>1000</v>
      </c>
      <c r="N12" s="66">
        <f>IF(ТипУчастника=1,ФП04пр*Тип1Вес1,"–//–")</f>
        <v>333</v>
      </c>
      <c r="P12" s="73">
        <f>IF(ТипУчастника=1,ROUND(ФП04Коэф+ФП04прКоэф,Округл0),ROUND(ФП04Коэф,Округл0))</f>
        <v>1000</v>
      </c>
      <c r="R12" s="68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1" t="s">
        <v>87</v>
      </c>
    </row>
    <row r="13" spans="2:20" s="64" customFormat="1" ht="45" customHeight="1" x14ac:dyDescent="0.2">
      <c r="B13" s="111" t="s">
        <v>47</v>
      </c>
      <c r="C13" s="112" t="s">
        <v>107</v>
      </c>
      <c r="D13" s="168"/>
      <c r="E13" s="168"/>
      <c r="F13" s="168"/>
      <c r="G13" s="168"/>
      <c r="H13" s="113"/>
      <c r="J13" s="65">
        <f>IFERROR((Стр1520*360)/Стр2110,1000)</f>
        <v>1000</v>
      </c>
      <c r="K13" s="66">
        <f xml:space="preserve">
IF(ТипУчастника=1,ФП05*Тип1Вес2,
IF(ТипУчастника=2,ФП05*Тип2Вес2))</f>
        <v>667</v>
      </c>
      <c r="M13" s="65">
        <f>IFERROR(IF(ТипУчастника=1,(Стр1520пр*360)/Стр2110пр,"–//–"),1000)</f>
        <v>1000</v>
      </c>
      <c r="N13" s="66">
        <f>IF(ТипУчастника=1,ФП05пр*Тип1Вес1,"–//–")</f>
        <v>333</v>
      </c>
      <c r="P13" s="73">
        <f>IF(ТипУчастника=1,ROUND(ФП05Коэф+ФП05прКоэф,Округл0),ROUND(ФП05Коэф,Округл0))</f>
        <v>1000</v>
      </c>
      <c r="R13" s="68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1" t="s">
        <v>88</v>
      </c>
    </row>
    <row r="14" spans="2:20" ht="45" customHeight="1" x14ac:dyDescent="0.2">
      <c r="B14" s="108" t="s">
        <v>48</v>
      </c>
      <c r="C14" s="109" t="s">
        <v>35</v>
      </c>
      <c r="D14" s="169"/>
      <c r="E14" s="169"/>
      <c r="F14" s="169"/>
      <c r="G14" s="169"/>
      <c r="H14" s="110" t="s">
        <v>118</v>
      </c>
      <c r="J14" s="57">
        <f>IFERROR((Стр1250)/Стр1500,-1000)</f>
        <v>-1000</v>
      </c>
      <c r="K14" s="58">
        <f xml:space="preserve">
IF(ТипУчастника=1,ФП06*Тип1Вес2,
IF(ТипУчастника=2,ФП06*Тип2Вес2))</f>
        <v>-667</v>
      </c>
      <c r="M14" s="57">
        <f>IFERROR(IF(ТипУчастника=1,(Стр1250пр)/Стр1500пр,"–//–"),-1000)</f>
        <v>-1000</v>
      </c>
      <c r="N14" s="58">
        <f>IF(ТипУчастника=1,ФП06пр*Тип1Вес1,"–//–")</f>
        <v>-333</v>
      </c>
      <c r="P14" s="60">
        <f>IF(ТипУчастника=1,ROUND(ФП06Коэф+ФП06прКоэф,Округл2),ROUND(ФП06Коэф,Округл2))</f>
        <v>-1000</v>
      </c>
      <c r="R14" s="62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1" t="s">
        <v>89</v>
      </c>
    </row>
    <row r="15" spans="2:20" ht="45" customHeight="1" x14ac:dyDescent="0.2">
      <c r="B15" s="108" t="s">
        <v>49</v>
      </c>
      <c r="C15" s="109" t="s">
        <v>36</v>
      </c>
      <c r="D15" s="169"/>
      <c r="E15" s="169"/>
      <c r="F15" s="169"/>
      <c r="G15" s="169"/>
      <c r="H15" s="110"/>
      <c r="J15" s="57">
        <f>IFERROR(Стр1100/(Стр1300+Стр1400),1000)</f>
        <v>1000</v>
      </c>
      <c r="K15" s="58">
        <f xml:space="preserve">
IF(ТипУчастника=1,ФП07*Тип1Вес2,
IF(ТипУчастника=2,ФП07*Тип2Вес2))</f>
        <v>667</v>
      </c>
      <c r="M15" s="57">
        <f>IFERROR(IF(ТипУчастника=1,Стр1100пр/(Стр1300пр+Стр1400пр),"–//–"),1000)</f>
        <v>1000</v>
      </c>
      <c r="N15" s="58">
        <f>IF(ТипУчастника=1,ФП07пр*Тип1Вес1,"–//–")</f>
        <v>333</v>
      </c>
      <c r="P15" s="59">
        <f>IF(ТипУчастника=1,ROUND(ФП07Коэф+ФП07прКоэф,Округл1),ROUND(ФП07Коэф,Округл1))</f>
        <v>1000</v>
      </c>
      <c r="R15" s="62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1" t="s">
        <v>90</v>
      </c>
      <c r="T15" s="38"/>
    </row>
    <row r="16" spans="2:20" ht="45" customHeight="1" x14ac:dyDescent="0.2">
      <c r="B16" s="111" t="s">
        <v>50</v>
      </c>
      <c r="C16" s="112" t="s">
        <v>108</v>
      </c>
      <c r="D16" s="168"/>
      <c r="E16" s="168"/>
      <c r="F16" s="168"/>
      <c r="G16" s="168"/>
      <c r="H16" s="113"/>
      <c r="J16" s="65">
        <f>IFERROR(Стр1300/Стр1700,-1000)</f>
        <v>-1000</v>
      </c>
      <c r="K16" s="66">
        <f xml:space="preserve">
IF(ТипУчастника=1,ФП08*Тип1Вес2,
IF(ТипУчастника=2,ФП08*Тип2Вес2))</f>
        <v>-667</v>
      </c>
      <c r="L16" s="64"/>
      <c r="M16" s="65">
        <f>IFERROR(IF(ТипУчастника=1,Стр1300пр/Стр1700пр,"–//–"),-1000)</f>
        <v>-1000</v>
      </c>
      <c r="N16" s="66">
        <f>IF(ТипУчастника=1,ФП08пр*Тип1Вес1,"–//–")</f>
        <v>-333</v>
      </c>
      <c r="O16" s="64"/>
      <c r="P16" s="67">
        <f>IF(ТипУчастника=1,ROUND(ФП08Коэф+ФП08прКоэф,Округл2),ROUND(ФП08Коэф,Округл2))</f>
        <v>-1000</v>
      </c>
      <c r="Q16" s="64"/>
      <c r="R16" s="68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1" t="s">
        <v>91</v>
      </c>
    </row>
    <row r="17" spans="2:19" s="64" customFormat="1" ht="45" customHeight="1" x14ac:dyDescent="0.2">
      <c r="B17" s="111" t="s">
        <v>51</v>
      </c>
      <c r="C17" s="112" t="s">
        <v>113</v>
      </c>
      <c r="D17" s="168"/>
      <c r="E17" s="168"/>
      <c r="F17" s="168"/>
      <c r="G17" s="168"/>
      <c r="H17" s="113"/>
      <c r="J17" s="65">
        <f>IFERROR(IF(ИзмББ=1,(ЦЕНА/1000)/Стр2110,(ЦЕНА/1000000)/Стр2110),1000)</f>
        <v>1000</v>
      </c>
      <c r="K17" s="66">
        <f xml:space="preserve">
IF(ТипУчастника=1,ФП09*Тип1Вес2,
IF(ТипУчастника=2,ФП09*Тип2Вес2))</f>
        <v>667</v>
      </c>
      <c r="M17" s="65">
        <f>IFERROR(IF(AND(ТипУчастника=1,ИзмББ=1),(ЦЕНА/1000)/Стр2110пр,IF(AND(ТипУчастника=1,ИзмББ=2),(ЦЕНА/1000000)/Стр2110пр,"–//–")),1000)</f>
        <v>1000</v>
      </c>
      <c r="N17" s="66">
        <f>IF(ТипУчастника=1,ФП09пр*Тип1Вес1,"–//–")</f>
        <v>333</v>
      </c>
      <c r="P17" s="67">
        <f>IF(ТипУчастника=1,ROUND(ФП09Коэф+ФП09прКоэф,Округл2),ROUND(ФП09Коэф,Округл2))</f>
        <v>1000</v>
      </c>
      <c r="R17" s="68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1" t="s">
        <v>92</v>
      </c>
    </row>
    <row r="18" spans="2:19" s="64" customFormat="1" ht="45" customHeight="1" thickBot="1" x14ac:dyDescent="0.25">
      <c r="B18" s="114" t="s">
        <v>52</v>
      </c>
      <c r="C18" s="115" t="s">
        <v>114</v>
      </c>
      <c r="D18" s="167"/>
      <c r="E18" s="167"/>
      <c r="F18" s="167"/>
      <c r="G18" s="167"/>
      <c r="H18" s="116"/>
      <c r="J18" s="69">
        <f>IFERROR(IF(ИзмББ=1,(ЦЕНА/1000)/Стр1600,(ЦЕНА/1000000)/Стр1600),1000)</f>
        <v>1000</v>
      </c>
      <c r="K18" s="70">
        <f xml:space="preserve">
IF(ТипУчастника=1,ФП10*Тип1Вес2,
IF(ТипУчастника=2,ФП10*Тип2Вес2))</f>
        <v>667</v>
      </c>
      <c r="M18" s="69">
        <f>IFERROR(IF(AND(ТипУчастника=1,ИзмББ=1),(ЦЕНА/1000)/Стр1600пр,IF(AND(ТипУчастника=1,ИзмББ=2),(ЦЕНА/1000000)/Стр1600пр,"–//–")),1000)</f>
        <v>1000</v>
      </c>
      <c r="N18" s="70">
        <f>IF(ТипУчастника=1,ФП10пр*Тип1Вес1,"–//–")</f>
        <v>333</v>
      </c>
      <c r="P18" s="71">
        <f>IF(ТипУчастника=1,ROUND(ФП10Коэф+ФП10прКоэф,Округл2),ROUND(ФП10Коэф,Округл2))</f>
        <v>1000</v>
      </c>
      <c r="R18" s="72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1" t="s">
        <v>93</v>
      </c>
    </row>
  </sheetData>
  <sheetProtection algorithmName="SHA-512" hashValue="LdFAoyYK5XjvfVNU9i3aWbvJuXBHnMkLprKR4TeP7R3iaXl6xMxDJXVnPWOl1XAzyXrlXc+8P0ns8shz495IBA==" saltValue="EU/iRh7+XaFJQdnQoEfOgQ==" spinCount="100000" sheet="1" formatCells="0" formatColumns="0" formatRows="0"/>
  <mergeCells count="19">
    <mergeCell ref="J7:K7"/>
    <mergeCell ref="R7:R8"/>
    <mergeCell ref="B5:D5"/>
    <mergeCell ref="M7:N7"/>
    <mergeCell ref="P7:P8"/>
    <mergeCell ref="B7:B8"/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topLeftCell="C2" zoomScale="125" zoomScaleNormal="70" workbookViewId="0">
      <selection activeCell="N2" sqref="N2:P2"/>
    </sheetView>
  </sheetViews>
  <sheetFormatPr baseColWidth="10" defaultColWidth="8.83203125" defaultRowHeight="15" x14ac:dyDescent="0.2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75" customWidth="1"/>
  </cols>
  <sheetData>
    <row r="1" spans="1:34" ht="20" thickBot="1" x14ac:dyDescent="0.3">
      <c r="B1" s="74"/>
    </row>
    <row r="2" spans="1:34" ht="50" customHeight="1" thickBot="1" x14ac:dyDescent="0.25">
      <c r="A2" s="132"/>
      <c r="B2" s="104" t="s">
        <v>63</v>
      </c>
      <c r="C2" s="191">
        <v>0</v>
      </c>
      <c r="D2" s="192"/>
      <c r="E2" s="193">
        <v>0.1</v>
      </c>
      <c r="F2" s="194"/>
      <c r="G2" s="192"/>
      <c r="H2" s="193">
        <v>0.2</v>
      </c>
      <c r="I2" s="194"/>
      <c r="J2" s="192"/>
      <c r="K2" s="193">
        <v>0.3</v>
      </c>
      <c r="L2" s="194"/>
      <c r="M2" s="192"/>
      <c r="N2" s="193">
        <v>0.4</v>
      </c>
      <c r="O2" s="194"/>
      <c r="P2" s="192"/>
      <c r="Q2" s="186">
        <v>0.5</v>
      </c>
      <c r="R2" s="187"/>
      <c r="S2" s="188"/>
      <c r="T2" s="186">
        <v>0.6</v>
      </c>
      <c r="U2" s="187"/>
      <c r="V2" s="188"/>
      <c r="W2" s="186">
        <v>0.7</v>
      </c>
      <c r="X2" s="187"/>
      <c r="Y2" s="188"/>
      <c r="Z2" s="186">
        <v>0.8</v>
      </c>
      <c r="AA2" s="187"/>
      <c r="AB2" s="188"/>
      <c r="AC2" s="186">
        <v>0.9</v>
      </c>
      <c r="AD2" s="187"/>
      <c r="AE2" s="188"/>
      <c r="AF2" s="189">
        <v>1</v>
      </c>
      <c r="AG2" s="190"/>
    </row>
    <row r="3" spans="1:34" ht="40" customHeight="1" x14ac:dyDescent="0.2">
      <c r="A3" s="133" t="s">
        <v>84</v>
      </c>
      <c r="B3" s="81" t="s">
        <v>30</v>
      </c>
      <c r="C3" s="92" t="s">
        <v>55</v>
      </c>
      <c r="D3" s="117">
        <v>100.5</v>
      </c>
      <c r="E3" s="84">
        <v>100</v>
      </c>
      <c r="F3" s="95" t="s">
        <v>56</v>
      </c>
      <c r="G3" s="117">
        <v>100.5</v>
      </c>
      <c r="H3" s="84">
        <v>99.5</v>
      </c>
      <c r="I3" s="95" t="s">
        <v>56</v>
      </c>
      <c r="J3" s="117">
        <v>100</v>
      </c>
      <c r="K3" s="118">
        <v>98.5</v>
      </c>
      <c r="L3" s="95" t="s">
        <v>56</v>
      </c>
      <c r="M3" s="119">
        <v>99.5</v>
      </c>
      <c r="N3" s="118">
        <v>98</v>
      </c>
      <c r="O3" s="95" t="s">
        <v>56</v>
      </c>
      <c r="P3" s="119">
        <v>98.5</v>
      </c>
      <c r="Q3" s="23">
        <v>96</v>
      </c>
      <c r="R3" s="98" t="s">
        <v>56</v>
      </c>
      <c r="S3" s="24">
        <v>98</v>
      </c>
      <c r="T3" s="23">
        <v>94</v>
      </c>
      <c r="U3" s="98" t="s">
        <v>56</v>
      </c>
      <c r="V3" s="24">
        <v>96</v>
      </c>
      <c r="W3" s="23">
        <v>92</v>
      </c>
      <c r="X3" s="98" t="s">
        <v>56</v>
      </c>
      <c r="Y3" s="24">
        <v>94</v>
      </c>
      <c r="Z3" s="23">
        <v>90</v>
      </c>
      <c r="AA3" s="98" t="s">
        <v>56</v>
      </c>
      <c r="AB3" s="24">
        <v>92</v>
      </c>
      <c r="AC3" s="23">
        <v>83</v>
      </c>
      <c r="AD3" s="98" t="s">
        <v>56</v>
      </c>
      <c r="AE3" s="24">
        <v>90</v>
      </c>
      <c r="AF3" s="101" t="s">
        <v>60</v>
      </c>
      <c r="AG3" s="33">
        <v>83</v>
      </c>
      <c r="AH3" s="76"/>
    </row>
    <row r="4" spans="1:34" ht="40" customHeight="1" x14ac:dyDescent="0.2">
      <c r="A4" s="133" t="s">
        <v>85</v>
      </c>
      <c r="B4" s="82" t="s">
        <v>31</v>
      </c>
      <c r="C4" s="93" t="s">
        <v>57</v>
      </c>
      <c r="D4" s="85">
        <v>-10</v>
      </c>
      <c r="E4" s="86">
        <v>-10</v>
      </c>
      <c r="F4" s="96" t="s">
        <v>58</v>
      </c>
      <c r="G4" s="85">
        <v>-7</v>
      </c>
      <c r="H4" s="86">
        <v>-7</v>
      </c>
      <c r="I4" s="96" t="s">
        <v>58</v>
      </c>
      <c r="J4" s="85">
        <v>-3</v>
      </c>
      <c r="K4" s="120">
        <v>-3</v>
      </c>
      <c r="L4" s="96" t="s">
        <v>58</v>
      </c>
      <c r="M4" s="121">
        <v>0</v>
      </c>
      <c r="N4" s="120">
        <v>0</v>
      </c>
      <c r="O4" s="96" t="s">
        <v>58</v>
      </c>
      <c r="P4" s="121">
        <v>3</v>
      </c>
      <c r="Q4" s="25">
        <v>3</v>
      </c>
      <c r="R4" s="99" t="s">
        <v>58</v>
      </c>
      <c r="S4" s="26">
        <v>7</v>
      </c>
      <c r="T4" s="25">
        <v>7</v>
      </c>
      <c r="U4" s="99" t="s">
        <v>58</v>
      </c>
      <c r="V4" s="26">
        <v>10</v>
      </c>
      <c r="W4" s="25">
        <v>10</v>
      </c>
      <c r="X4" s="99" t="s">
        <v>58</v>
      </c>
      <c r="Y4" s="26">
        <v>13</v>
      </c>
      <c r="Z4" s="25">
        <v>13</v>
      </c>
      <c r="AA4" s="99" t="s">
        <v>58</v>
      </c>
      <c r="AB4" s="26">
        <v>17</v>
      </c>
      <c r="AC4" s="25">
        <v>17</v>
      </c>
      <c r="AD4" s="99" t="s">
        <v>58</v>
      </c>
      <c r="AE4" s="26">
        <v>20</v>
      </c>
      <c r="AF4" s="102" t="s">
        <v>59</v>
      </c>
      <c r="AG4" s="34">
        <v>20</v>
      </c>
    </row>
    <row r="5" spans="1:34" ht="40" customHeight="1" x14ac:dyDescent="0.2">
      <c r="A5" s="133" t="s">
        <v>86</v>
      </c>
      <c r="B5" s="82" t="s">
        <v>32</v>
      </c>
      <c r="C5" s="93" t="s">
        <v>55</v>
      </c>
      <c r="D5" s="87">
        <v>11</v>
      </c>
      <c r="E5" s="88">
        <v>10</v>
      </c>
      <c r="F5" s="96" t="s">
        <v>56</v>
      </c>
      <c r="G5" s="87">
        <v>11</v>
      </c>
      <c r="H5" s="88">
        <v>9</v>
      </c>
      <c r="I5" s="96" t="s">
        <v>56</v>
      </c>
      <c r="J5" s="87">
        <v>10</v>
      </c>
      <c r="K5" s="122">
        <v>8</v>
      </c>
      <c r="L5" s="96" t="s">
        <v>56</v>
      </c>
      <c r="M5" s="123">
        <v>9</v>
      </c>
      <c r="N5" s="122">
        <v>7</v>
      </c>
      <c r="O5" s="96" t="s">
        <v>56</v>
      </c>
      <c r="P5" s="123">
        <v>8</v>
      </c>
      <c r="Q5" s="27">
        <v>6</v>
      </c>
      <c r="R5" s="99" t="s">
        <v>56</v>
      </c>
      <c r="S5" s="28">
        <v>7</v>
      </c>
      <c r="T5" s="27">
        <v>5</v>
      </c>
      <c r="U5" s="99" t="s">
        <v>56</v>
      </c>
      <c r="V5" s="28">
        <v>6</v>
      </c>
      <c r="W5" s="27">
        <v>4</v>
      </c>
      <c r="X5" s="99" t="s">
        <v>56</v>
      </c>
      <c r="Y5" s="28">
        <v>5</v>
      </c>
      <c r="Z5" s="27">
        <v>3</v>
      </c>
      <c r="AA5" s="99" t="s">
        <v>56</v>
      </c>
      <c r="AB5" s="28">
        <v>4</v>
      </c>
      <c r="AC5" s="27">
        <v>2</v>
      </c>
      <c r="AD5" s="99" t="s">
        <v>56</v>
      </c>
      <c r="AE5" s="28">
        <v>3</v>
      </c>
      <c r="AF5" s="102" t="s">
        <v>60</v>
      </c>
      <c r="AG5" s="35">
        <v>2</v>
      </c>
    </row>
    <row r="6" spans="1:34" ht="40" customHeight="1" x14ac:dyDescent="0.2">
      <c r="A6" s="133" t="s">
        <v>87</v>
      </c>
      <c r="B6" s="82" t="s">
        <v>33</v>
      </c>
      <c r="C6" s="93" t="s">
        <v>55</v>
      </c>
      <c r="D6" s="87">
        <v>195</v>
      </c>
      <c r="E6" s="88">
        <v>180</v>
      </c>
      <c r="F6" s="96" t="s">
        <v>56</v>
      </c>
      <c r="G6" s="87">
        <v>195</v>
      </c>
      <c r="H6" s="88">
        <v>165</v>
      </c>
      <c r="I6" s="96" t="s">
        <v>56</v>
      </c>
      <c r="J6" s="87">
        <v>180</v>
      </c>
      <c r="K6" s="122">
        <v>150</v>
      </c>
      <c r="L6" s="96" t="s">
        <v>56</v>
      </c>
      <c r="M6" s="123">
        <v>165</v>
      </c>
      <c r="N6" s="122">
        <v>135</v>
      </c>
      <c r="O6" s="96" t="s">
        <v>56</v>
      </c>
      <c r="P6" s="123">
        <v>150</v>
      </c>
      <c r="Q6" s="27">
        <v>120</v>
      </c>
      <c r="R6" s="99" t="s">
        <v>56</v>
      </c>
      <c r="S6" s="28">
        <v>135</v>
      </c>
      <c r="T6" s="27">
        <v>105</v>
      </c>
      <c r="U6" s="99" t="s">
        <v>56</v>
      </c>
      <c r="V6" s="28">
        <v>120</v>
      </c>
      <c r="W6" s="27">
        <v>90</v>
      </c>
      <c r="X6" s="99" t="s">
        <v>56</v>
      </c>
      <c r="Y6" s="28">
        <v>105</v>
      </c>
      <c r="Z6" s="27">
        <v>75</v>
      </c>
      <c r="AA6" s="99" t="s">
        <v>56</v>
      </c>
      <c r="AB6" s="28">
        <v>90</v>
      </c>
      <c r="AC6" s="27">
        <v>60</v>
      </c>
      <c r="AD6" s="99" t="s">
        <v>56</v>
      </c>
      <c r="AE6" s="28">
        <v>75</v>
      </c>
      <c r="AF6" s="102" t="s">
        <v>60</v>
      </c>
      <c r="AG6" s="35">
        <v>60</v>
      </c>
      <c r="AH6" s="76"/>
    </row>
    <row r="7" spans="1:34" ht="40" customHeight="1" x14ac:dyDescent="0.2">
      <c r="A7" s="133" t="s">
        <v>88</v>
      </c>
      <c r="B7" s="82" t="s">
        <v>34</v>
      </c>
      <c r="C7" s="93" t="s">
        <v>55</v>
      </c>
      <c r="D7" s="87">
        <v>195</v>
      </c>
      <c r="E7" s="88">
        <v>180</v>
      </c>
      <c r="F7" s="96" t="s">
        <v>56</v>
      </c>
      <c r="G7" s="87">
        <v>195</v>
      </c>
      <c r="H7" s="88">
        <v>165</v>
      </c>
      <c r="I7" s="96" t="s">
        <v>56</v>
      </c>
      <c r="J7" s="87">
        <v>180</v>
      </c>
      <c r="K7" s="122">
        <v>150</v>
      </c>
      <c r="L7" s="96" t="s">
        <v>56</v>
      </c>
      <c r="M7" s="123">
        <v>165</v>
      </c>
      <c r="N7" s="122">
        <v>135</v>
      </c>
      <c r="O7" s="96" t="s">
        <v>56</v>
      </c>
      <c r="P7" s="123">
        <v>150</v>
      </c>
      <c r="Q7" s="27">
        <v>120</v>
      </c>
      <c r="R7" s="99" t="s">
        <v>56</v>
      </c>
      <c r="S7" s="28">
        <v>135</v>
      </c>
      <c r="T7" s="27">
        <v>105</v>
      </c>
      <c r="U7" s="99" t="s">
        <v>56</v>
      </c>
      <c r="V7" s="28">
        <v>120</v>
      </c>
      <c r="W7" s="27">
        <v>90</v>
      </c>
      <c r="X7" s="99" t="s">
        <v>56</v>
      </c>
      <c r="Y7" s="28">
        <v>105</v>
      </c>
      <c r="Z7" s="27">
        <v>75</v>
      </c>
      <c r="AA7" s="99" t="s">
        <v>56</v>
      </c>
      <c r="AB7" s="28">
        <v>90</v>
      </c>
      <c r="AC7" s="27">
        <v>60</v>
      </c>
      <c r="AD7" s="99" t="s">
        <v>56</v>
      </c>
      <c r="AE7" s="28">
        <v>75</v>
      </c>
      <c r="AF7" s="102" t="s">
        <v>60</v>
      </c>
      <c r="AG7" s="35">
        <v>60</v>
      </c>
      <c r="AH7" s="76"/>
    </row>
    <row r="8" spans="1:34" ht="40" customHeight="1" x14ac:dyDescent="0.2">
      <c r="A8" s="133" t="s">
        <v>89</v>
      </c>
      <c r="B8" s="82" t="s">
        <v>35</v>
      </c>
      <c r="C8" s="93" t="s">
        <v>61</v>
      </c>
      <c r="D8" s="89">
        <v>0.03</v>
      </c>
      <c r="E8" s="90">
        <v>0.03</v>
      </c>
      <c r="F8" s="96" t="s">
        <v>58</v>
      </c>
      <c r="G8" s="89">
        <v>0.04</v>
      </c>
      <c r="H8" s="90">
        <v>0.04</v>
      </c>
      <c r="I8" s="96" t="s">
        <v>58</v>
      </c>
      <c r="J8" s="89">
        <v>0.05</v>
      </c>
      <c r="K8" s="124">
        <v>0.05</v>
      </c>
      <c r="L8" s="96" t="s">
        <v>58</v>
      </c>
      <c r="M8" s="125">
        <v>0.06</v>
      </c>
      <c r="N8" s="124">
        <v>0.06</v>
      </c>
      <c r="O8" s="96" t="s">
        <v>58</v>
      </c>
      <c r="P8" s="125">
        <v>7.0000000000000007E-2</v>
      </c>
      <c r="Q8" s="29">
        <v>7.0000000000000007E-2</v>
      </c>
      <c r="R8" s="99" t="s">
        <v>58</v>
      </c>
      <c r="S8" s="30">
        <v>0.09</v>
      </c>
      <c r="T8" s="29">
        <v>0.09</v>
      </c>
      <c r="U8" s="99" t="s">
        <v>58</v>
      </c>
      <c r="V8" s="30">
        <v>0.1</v>
      </c>
      <c r="W8" s="29">
        <v>0.1</v>
      </c>
      <c r="X8" s="99" t="s">
        <v>58</v>
      </c>
      <c r="Y8" s="30">
        <v>0.13</v>
      </c>
      <c r="Z8" s="29">
        <v>0.13</v>
      </c>
      <c r="AA8" s="99" t="s">
        <v>58</v>
      </c>
      <c r="AB8" s="30">
        <v>0.17</v>
      </c>
      <c r="AC8" s="29">
        <v>0.17</v>
      </c>
      <c r="AD8" s="99" t="s">
        <v>58</v>
      </c>
      <c r="AE8" s="30">
        <v>0.2</v>
      </c>
      <c r="AF8" s="102" t="s">
        <v>59</v>
      </c>
      <c r="AG8" s="36">
        <v>0.2</v>
      </c>
    </row>
    <row r="9" spans="1:34" ht="40" customHeight="1" x14ac:dyDescent="0.2">
      <c r="A9" s="133" t="s">
        <v>90</v>
      </c>
      <c r="B9" s="82" t="s">
        <v>36</v>
      </c>
      <c r="C9" s="93" t="s">
        <v>55</v>
      </c>
      <c r="D9" s="85">
        <v>1.7</v>
      </c>
      <c r="E9" s="86">
        <v>1.6</v>
      </c>
      <c r="F9" s="96" t="s">
        <v>56</v>
      </c>
      <c r="G9" s="85">
        <v>1.7</v>
      </c>
      <c r="H9" s="86">
        <v>1.5</v>
      </c>
      <c r="I9" s="96" t="s">
        <v>56</v>
      </c>
      <c r="J9" s="85">
        <v>1.6</v>
      </c>
      <c r="K9" s="120">
        <v>1.4</v>
      </c>
      <c r="L9" s="96" t="s">
        <v>56</v>
      </c>
      <c r="M9" s="121">
        <v>1.5</v>
      </c>
      <c r="N9" s="120">
        <v>1.3</v>
      </c>
      <c r="O9" s="96" t="s">
        <v>56</v>
      </c>
      <c r="P9" s="121">
        <v>1.4</v>
      </c>
      <c r="Q9" s="25">
        <v>1.2</v>
      </c>
      <c r="R9" s="99" t="s">
        <v>56</v>
      </c>
      <c r="S9" s="26">
        <v>1.3</v>
      </c>
      <c r="T9" s="25">
        <v>1.1000000000000001</v>
      </c>
      <c r="U9" s="99" t="s">
        <v>56</v>
      </c>
      <c r="V9" s="26">
        <v>1.2</v>
      </c>
      <c r="W9" s="25">
        <v>1</v>
      </c>
      <c r="X9" s="99" t="s">
        <v>56</v>
      </c>
      <c r="Y9" s="26">
        <v>1.1000000000000001</v>
      </c>
      <c r="Z9" s="25">
        <v>0.9</v>
      </c>
      <c r="AA9" s="99" t="s">
        <v>56</v>
      </c>
      <c r="AB9" s="26">
        <v>1</v>
      </c>
      <c r="AC9" s="25">
        <v>0.8</v>
      </c>
      <c r="AD9" s="99" t="s">
        <v>56</v>
      </c>
      <c r="AE9" s="26">
        <v>0.9</v>
      </c>
      <c r="AF9" s="102" t="s">
        <v>62</v>
      </c>
      <c r="AG9" s="34">
        <v>0.8</v>
      </c>
    </row>
    <row r="10" spans="1:34" ht="40" customHeight="1" x14ac:dyDescent="0.2">
      <c r="A10" s="133" t="s">
        <v>91</v>
      </c>
      <c r="B10" s="82" t="s">
        <v>37</v>
      </c>
      <c r="C10" s="93" t="s">
        <v>57</v>
      </c>
      <c r="D10" s="89">
        <v>-0.05</v>
      </c>
      <c r="E10" s="90">
        <v>-0.05</v>
      </c>
      <c r="F10" s="96" t="s">
        <v>58</v>
      </c>
      <c r="G10" s="89">
        <v>0</v>
      </c>
      <c r="H10" s="90">
        <v>0</v>
      </c>
      <c r="I10" s="96" t="s">
        <v>58</v>
      </c>
      <c r="J10" s="89">
        <v>0.05</v>
      </c>
      <c r="K10" s="124">
        <v>0.05</v>
      </c>
      <c r="L10" s="96" t="s">
        <v>58</v>
      </c>
      <c r="M10" s="125">
        <v>0.1</v>
      </c>
      <c r="N10" s="124">
        <v>0.1</v>
      </c>
      <c r="O10" s="96" t="s">
        <v>58</v>
      </c>
      <c r="P10" s="125">
        <v>0.15</v>
      </c>
      <c r="Q10" s="29">
        <v>0.15</v>
      </c>
      <c r="R10" s="99" t="s">
        <v>58</v>
      </c>
      <c r="S10" s="30">
        <v>0.2</v>
      </c>
      <c r="T10" s="29">
        <v>0.2</v>
      </c>
      <c r="U10" s="99" t="s">
        <v>58</v>
      </c>
      <c r="V10" s="30">
        <v>0.25</v>
      </c>
      <c r="W10" s="29">
        <v>0.25</v>
      </c>
      <c r="X10" s="99" t="s">
        <v>58</v>
      </c>
      <c r="Y10" s="30">
        <v>0.27</v>
      </c>
      <c r="Z10" s="29">
        <v>0.27</v>
      </c>
      <c r="AA10" s="99" t="s">
        <v>58</v>
      </c>
      <c r="AB10" s="30">
        <v>0.3</v>
      </c>
      <c r="AC10" s="29">
        <v>0.3</v>
      </c>
      <c r="AD10" s="99" t="s">
        <v>58</v>
      </c>
      <c r="AE10" s="30">
        <v>0.33</v>
      </c>
      <c r="AF10" s="102" t="s">
        <v>59</v>
      </c>
      <c r="AG10" s="36">
        <v>0.33</v>
      </c>
      <c r="AH10" s="76"/>
    </row>
    <row r="11" spans="1:34" ht="40" customHeight="1" x14ac:dyDescent="0.2">
      <c r="A11" s="133" t="s">
        <v>92</v>
      </c>
      <c r="B11" s="82" t="s">
        <v>38</v>
      </c>
      <c r="C11" s="93" t="s">
        <v>55</v>
      </c>
      <c r="D11" s="89">
        <v>0.9</v>
      </c>
      <c r="E11" s="90">
        <v>0.8</v>
      </c>
      <c r="F11" s="96" t="s">
        <v>56</v>
      </c>
      <c r="G11" s="89">
        <v>0.9</v>
      </c>
      <c r="H11" s="90">
        <v>0.7</v>
      </c>
      <c r="I11" s="96" t="s">
        <v>56</v>
      </c>
      <c r="J11" s="89">
        <v>0.8</v>
      </c>
      <c r="K11" s="124">
        <v>0.6</v>
      </c>
      <c r="L11" s="96" t="s">
        <v>56</v>
      </c>
      <c r="M11" s="125">
        <v>0.7</v>
      </c>
      <c r="N11" s="124">
        <v>0.5</v>
      </c>
      <c r="O11" s="96" t="s">
        <v>56</v>
      </c>
      <c r="P11" s="125">
        <v>0.6</v>
      </c>
      <c r="Q11" s="29">
        <v>0.4</v>
      </c>
      <c r="R11" s="99" t="s">
        <v>56</v>
      </c>
      <c r="S11" s="30">
        <v>0.5</v>
      </c>
      <c r="T11" s="29">
        <v>0.3</v>
      </c>
      <c r="U11" s="99" t="s">
        <v>56</v>
      </c>
      <c r="V11" s="30">
        <v>0.4</v>
      </c>
      <c r="W11" s="29">
        <v>0.25</v>
      </c>
      <c r="X11" s="99" t="s">
        <v>56</v>
      </c>
      <c r="Y11" s="30">
        <v>0.3</v>
      </c>
      <c r="Z11" s="29">
        <v>0.2</v>
      </c>
      <c r="AA11" s="99" t="s">
        <v>56</v>
      </c>
      <c r="AB11" s="30">
        <v>0.25</v>
      </c>
      <c r="AC11" s="29">
        <v>0.15</v>
      </c>
      <c r="AD11" s="99" t="s">
        <v>56</v>
      </c>
      <c r="AE11" s="30">
        <v>0.2</v>
      </c>
      <c r="AF11" s="102" t="s">
        <v>62</v>
      </c>
      <c r="AG11" s="36">
        <v>0.15</v>
      </c>
      <c r="AH11" s="76"/>
    </row>
    <row r="12" spans="1:34" ht="40" customHeight="1" thickBot="1" x14ac:dyDescent="0.25">
      <c r="A12" s="133" t="s">
        <v>93</v>
      </c>
      <c r="B12" s="83" t="s">
        <v>39</v>
      </c>
      <c r="C12" s="94" t="s">
        <v>55</v>
      </c>
      <c r="D12" s="126">
        <v>1.8</v>
      </c>
      <c r="E12" s="91">
        <v>1.6</v>
      </c>
      <c r="F12" s="97" t="s">
        <v>56</v>
      </c>
      <c r="G12" s="126">
        <v>1.8</v>
      </c>
      <c r="H12" s="91">
        <v>1.4</v>
      </c>
      <c r="I12" s="97" t="s">
        <v>56</v>
      </c>
      <c r="J12" s="126">
        <v>1.6</v>
      </c>
      <c r="K12" s="127">
        <v>1.2</v>
      </c>
      <c r="L12" s="97" t="s">
        <v>56</v>
      </c>
      <c r="M12" s="128">
        <v>1.4</v>
      </c>
      <c r="N12" s="127">
        <v>1</v>
      </c>
      <c r="O12" s="97" t="s">
        <v>56</v>
      </c>
      <c r="P12" s="128">
        <v>1.2</v>
      </c>
      <c r="Q12" s="31">
        <v>0.8</v>
      </c>
      <c r="R12" s="100" t="s">
        <v>56</v>
      </c>
      <c r="S12" s="32">
        <v>1</v>
      </c>
      <c r="T12" s="31">
        <v>0.6</v>
      </c>
      <c r="U12" s="100" t="s">
        <v>56</v>
      </c>
      <c r="V12" s="32">
        <v>0.8</v>
      </c>
      <c r="W12" s="31">
        <v>0.5</v>
      </c>
      <c r="X12" s="100" t="s">
        <v>56</v>
      </c>
      <c r="Y12" s="32">
        <v>0.6</v>
      </c>
      <c r="Z12" s="31">
        <v>0.4</v>
      </c>
      <c r="AA12" s="100" t="s">
        <v>56</v>
      </c>
      <c r="AB12" s="32">
        <v>0.5</v>
      </c>
      <c r="AC12" s="31">
        <v>0.3</v>
      </c>
      <c r="AD12" s="100" t="s">
        <v>56</v>
      </c>
      <c r="AE12" s="32">
        <v>0.4</v>
      </c>
      <c r="AF12" s="103" t="s">
        <v>62</v>
      </c>
      <c r="AG12" s="37">
        <v>0.3</v>
      </c>
      <c r="AH12" s="76"/>
    </row>
    <row r="13" spans="1:34" x14ac:dyDescent="0.2">
      <c r="B13" s="132"/>
      <c r="C13" s="134"/>
      <c r="D13" s="134" t="s">
        <v>64</v>
      </c>
      <c r="E13" s="134" t="s">
        <v>65</v>
      </c>
      <c r="F13" s="134"/>
      <c r="G13" s="134" t="s">
        <v>66</v>
      </c>
      <c r="H13" s="134" t="s">
        <v>67</v>
      </c>
      <c r="I13" s="134"/>
      <c r="J13" s="134" t="s">
        <v>68</v>
      </c>
      <c r="K13" s="134" t="s">
        <v>69</v>
      </c>
      <c r="L13" s="134"/>
      <c r="M13" s="134" t="s">
        <v>70</v>
      </c>
      <c r="N13" s="134" t="s">
        <v>71</v>
      </c>
      <c r="O13" s="134"/>
      <c r="P13" s="134" t="s">
        <v>72</v>
      </c>
      <c r="Q13" s="134" t="s">
        <v>73</v>
      </c>
      <c r="R13" s="134"/>
      <c r="S13" s="134" t="s">
        <v>74</v>
      </c>
      <c r="T13" s="134" t="s">
        <v>75</v>
      </c>
      <c r="U13" s="134"/>
      <c r="V13" s="134" t="s">
        <v>76</v>
      </c>
      <c r="W13" s="134" t="s">
        <v>77</v>
      </c>
      <c r="X13" s="134"/>
      <c r="Y13" s="134" t="s">
        <v>78</v>
      </c>
      <c r="Z13" s="134" t="s">
        <v>79</v>
      </c>
      <c r="AA13" s="134"/>
      <c r="AB13" s="134" t="s">
        <v>80</v>
      </c>
      <c r="AC13" s="134" t="s">
        <v>81</v>
      </c>
      <c r="AD13" s="134"/>
      <c r="AE13" s="134" t="s">
        <v>82</v>
      </c>
      <c r="AF13" s="134"/>
      <c r="AG13" s="134" t="s">
        <v>83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Q2:S2"/>
    <mergeCell ref="C2:D2"/>
    <mergeCell ref="E2:G2"/>
    <mergeCell ref="H2:J2"/>
    <mergeCell ref="K2:M2"/>
    <mergeCell ref="N2:P2"/>
    <mergeCell ref="T2:V2"/>
    <mergeCell ref="W2:Y2"/>
    <mergeCell ref="Z2:AB2"/>
    <mergeCell ref="AC2:AE2"/>
    <mergeCell ref="AF2:AG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315</vt:i4>
      </vt:variant>
    </vt:vector>
  </HeadingPairs>
  <TitlesOfParts>
    <vt:vector size="318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Чубаров С.</cp:lastModifiedBy>
  <cp:lastPrinted>2017-12-15T05:48:05Z</cp:lastPrinted>
  <dcterms:created xsi:type="dcterms:W3CDTF">2017-07-24T12:59:39Z</dcterms:created>
  <dcterms:modified xsi:type="dcterms:W3CDTF">2021-06-07T21:37:13Z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